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olterhoff\Desktop\Transmission Rates\"/>
    </mc:Choice>
  </mc:AlternateContent>
  <bookViews>
    <workbookView xWindow="0" yWindow="0" windowWidth="14230" windowHeight="11640"/>
  </bookViews>
  <sheets>
    <sheet name="Appendix A - Rates" sheetId="11" r:id="rId1"/>
    <sheet name="Appendix B - COS" sheetId="1" r:id="rId2"/>
    <sheet name="Exh I - Allocators" sheetId="3" r:id="rId3"/>
    <sheet name="Exh II - Plant Data" sheetId="2" r:id="rId4"/>
    <sheet name="Exh III - O&amp;M Expenses" sheetId="4" r:id="rId5"/>
    <sheet name="Exh IV - M&amp;S and Prepayments" sheetId="5" r:id="rId6"/>
    <sheet name="Exh V - ROR" sheetId="6" r:id="rId7"/>
    <sheet name="Exh VI - Other Taxes" sheetId="7" r:id="rId8"/>
    <sheet name="Exh VII - Rev Crd" sheetId="9" r:id="rId9"/>
    <sheet name="Exh VIII - Loads" sheetId="8" r:id="rId10"/>
  </sheets>
  <definedNames>
    <definedName name="_xlnm._FilterDatabase" localSheetId="4" hidden="1">'Exh III - O&amp;M Expenses'!$L$86:$L$101</definedName>
    <definedName name="_xlnm.Print_Area" localSheetId="3">'Exh II - Plant Data'!$A$1:$V$78</definedName>
    <definedName name="_xlnm.Print_Area" localSheetId="4">'Exh III - O&amp;M Expenses'!$A$1:$L$106</definedName>
    <definedName name="_xlnm.Print_Area" localSheetId="6">'Exh V - ROR'!$A$1:$I$27</definedName>
    <definedName name="_xlnm.Print_Titles" localSheetId="1">'Appendix B - COS'!$1:$11</definedName>
    <definedName name="_xlnm.Print_Titles" localSheetId="3">'Exh II - Plant Data'!$1:$11</definedName>
    <definedName name="_xlnm.Print_Titles" localSheetId="4">'Exh III - O&amp;M Expenses'!$1:$11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" i="1" l="1"/>
  <c r="G59" i="3"/>
  <c r="K38" i="1" l="1"/>
  <c r="M24" i="5"/>
  <c r="L24" i="5"/>
  <c r="M22" i="5"/>
  <c r="M21" i="5"/>
  <c r="L22" i="5"/>
  <c r="L21" i="5"/>
  <c r="F38" i="7" l="1"/>
  <c r="Q64" i="2"/>
  <c r="R64" i="2"/>
  <c r="S64" i="2"/>
  <c r="T64" i="2"/>
  <c r="Q65" i="2"/>
  <c r="R65" i="2"/>
  <c r="S65" i="2"/>
  <c r="T65" i="2"/>
  <c r="Q66" i="2"/>
  <c r="R66" i="2"/>
  <c r="S66" i="2"/>
  <c r="T66" i="2"/>
  <c r="Q67" i="2"/>
  <c r="R67" i="2"/>
  <c r="S67" i="2"/>
  <c r="T67" i="2"/>
  <c r="Q68" i="2"/>
  <c r="R68" i="2"/>
  <c r="S68" i="2"/>
  <c r="T68" i="2"/>
  <c r="Q69" i="2"/>
  <c r="R69" i="2"/>
  <c r="S69" i="2"/>
  <c r="T69" i="2"/>
  <c r="Q70" i="2"/>
  <c r="R70" i="2"/>
  <c r="S70" i="2"/>
  <c r="T70" i="2"/>
  <c r="Q71" i="2"/>
  <c r="R71" i="2"/>
  <c r="S71" i="2"/>
  <c r="T71" i="2"/>
  <c r="Q72" i="2"/>
  <c r="R72" i="2"/>
  <c r="S72" i="2"/>
  <c r="T72" i="2"/>
  <c r="T63" i="2"/>
  <c r="S63" i="2"/>
  <c r="R63" i="2"/>
  <c r="Q63" i="2"/>
  <c r="T58" i="2"/>
  <c r="T57" i="2"/>
  <c r="T56" i="2"/>
  <c r="T55" i="2"/>
  <c r="T54" i="2"/>
  <c r="T53" i="2"/>
  <c r="T52" i="2"/>
  <c r="T51" i="2"/>
  <c r="T50" i="2"/>
  <c r="T49" i="2"/>
  <c r="T48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Q58" i="2"/>
  <c r="Q57" i="2"/>
  <c r="Q56" i="2"/>
  <c r="Q55" i="2"/>
  <c r="Q54" i="2"/>
  <c r="Q53" i="2"/>
  <c r="Q52" i="2"/>
  <c r="Q51" i="2"/>
  <c r="Q50" i="2"/>
  <c r="Q49" i="2"/>
  <c r="Q48" i="2"/>
  <c r="Q38" i="2"/>
  <c r="R38" i="2"/>
  <c r="S38" i="2"/>
  <c r="T38" i="2"/>
  <c r="Q39" i="2"/>
  <c r="R39" i="2"/>
  <c r="S39" i="2"/>
  <c r="T39" i="2"/>
  <c r="Q40" i="2"/>
  <c r="R40" i="2"/>
  <c r="S40" i="2"/>
  <c r="T40" i="2"/>
  <c r="Q41" i="2"/>
  <c r="R41" i="2"/>
  <c r="S41" i="2"/>
  <c r="T41" i="2"/>
  <c r="Q42" i="2"/>
  <c r="R42" i="2"/>
  <c r="S42" i="2"/>
  <c r="T42" i="2"/>
  <c r="Q43" i="2"/>
  <c r="R43" i="2"/>
  <c r="S43" i="2"/>
  <c r="T43" i="2"/>
  <c r="T37" i="2"/>
  <c r="S37" i="2"/>
  <c r="R37" i="2"/>
  <c r="Q37" i="2"/>
  <c r="T23" i="2"/>
  <c r="T24" i="2"/>
  <c r="T25" i="2"/>
  <c r="T26" i="2"/>
  <c r="T27" i="2"/>
  <c r="T28" i="2"/>
  <c r="T29" i="2"/>
  <c r="T32" i="2"/>
  <c r="Q34" i="2"/>
  <c r="S32" i="2"/>
  <c r="R32" i="2"/>
  <c r="Q32" i="2"/>
  <c r="Q24" i="2"/>
  <c r="R24" i="2"/>
  <c r="S24" i="2"/>
  <c r="Q25" i="2"/>
  <c r="R25" i="2"/>
  <c r="S25" i="2"/>
  <c r="Q26" i="2"/>
  <c r="R26" i="2"/>
  <c r="S26" i="2"/>
  <c r="Q27" i="2"/>
  <c r="R27" i="2"/>
  <c r="Q28" i="2"/>
  <c r="R28" i="2"/>
  <c r="S28" i="2"/>
  <c r="Q29" i="2"/>
  <c r="R29" i="2"/>
  <c r="S29" i="2"/>
  <c r="S23" i="2"/>
  <c r="R23" i="2"/>
  <c r="Q23" i="2"/>
  <c r="T18" i="2"/>
  <c r="R18" i="2"/>
  <c r="Q18" i="2"/>
  <c r="Q20" i="2" s="1"/>
  <c r="T16" i="2"/>
  <c r="R16" i="2"/>
  <c r="Q16" i="2"/>
  <c r="T14" i="2"/>
  <c r="R14" i="2"/>
  <c r="Q14" i="2"/>
  <c r="I58" i="3"/>
  <c r="L31" i="3"/>
  <c r="L49" i="3"/>
  <c r="R20" i="2" l="1"/>
  <c r="A28" i="3"/>
  <c r="A29" i="3"/>
  <c r="A30" i="3"/>
  <c r="A36" i="3"/>
  <c r="A38" i="3"/>
  <c r="A39" i="3"/>
  <c r="A43" i="3"/>
  <c r="A47" i="3"/>
  <c r="A48" i="3"/>
  <c r="G90" i="1"/>
  <c r="O90" i="1" s="1"/>
  <c r="G89" i="1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84" i="2"/>
  <c r="D123" i="2" l="1"/>
  <c r="K90" i="1"/>
  <c r="O22" i="9" l="1"/>
  <c r="O23" i="9"/>
  <c r="O24" i="9"/>
  <c r="O21" i="9"/>
  <c r="N25" i="9"/>
  <c r="M25" i="9"/>
  <c r="L25" i="9"/>
  <c r="K25" i="9"/>
  <c r="J25" i="9"/>
  <c r="H25" i="9"/>
  <c r="A23" i="9"/>
  <c r="A24" i="9"/>
  <c r="L32" i="3"/>
  <c r="U13" i="8"/>
  <c r="O25" i="9" l="1"/>
  <c r="A52" i="3" l="1"/>
  <c r="J63" i="2"/>
  <c r="J64" i="2"/>
  <c r="J65" i="2"/>
  <c r="J66" i="2"/>
  <c r="J67" i="2"/>
  <c r="J68" i="2"/>
  <c r="J69" i="2"/>
  <c r="J70" i="2"/>
  <c r="J71" i="2"/>
  <c r="J72" i="2"/>
  <c r="J18" i="2"/>
  <c r="S18" i="2" s="1"/>
  <c r="J16" i="2"/>
  <c r="S16" i="2" s="1"/>
  <c r="J14" i="2"/>
  <c r="S14" i="2" s="1"/>
  <c r="A76" i="2"/>
  <c r="H34" i="2"/>
  <c r="G14" i="1" s="1"/>
  <c r="L50" i="3" l="1"/>
  <c r="L51" i="3" s="1"/>
  <c r="O54" i="2" l="1"/>
  <c r="O53" i="2"/>
  <c r="O52" i="2"/>
  <c r="S25" i="8" l="1"/>
  <c r="A17" i="11" l="1"/>
  <c r="A18" i="11"/>
  <c r="P13" i="8"/>
  <c r="P14" i="8"/>
  <c r="P15" i="8"/>
  <c r="P16" i="8"/>
  <c r="P17" i="8"/>
  <c r="P18" i="8"/>
  <c r="P19" i="8"/>
  <c r="P20" i="8"/>
  <c r="P21" i="8"/>
  <c r="P22" i="8"/>
  <c r="P23" i="8"/>
  <c r="P24" i="8"/>
  <c r="U24" i="8" l="1"/>
  <c r="W24" i="8" s="1"/>
  <c r="V24" i="8"/>
  <c r="U23" i="8"/>
  <c r="W23" i="8" s="1"/>
  <c r="V23" i="8"/>
  <c r="U15" i="8"/>
  <c r="W15" i="8" s="1"/>
  <c r="V15" i="8"/>
  <c r="U14" i="8"/>
  <c r="W14" i="8" s="1"/>
  <c r="V14" i="8"/>
  <c r="U21" i="8"/>
  <c r="W21" i="8" s="1"/>
  <c r="V21" i="8"/>
  <c r="W13" i="8"/>
  <c r="V13" i="8"/>
  <c r="U20" i="8"/>
  <c r="W20" i="8" s="1"/>
  <c r="V20" i="8"/>
  <c r="U16" i="8"/>
  <c r="W16" i="8" s="1"/>
  <c r="V16" i="8"/>
  <c r="U18" i="8"/>
  <c r="W18" i="8" s="1"/>
  <c r="V18" i="8"/>
  <c r="U22" i="8"/>
  <c r="W22" i="8" s="1"/>
  <c r="V22" i="8"/>
  <c r="U19" i="8"/>
  <c r="W19" i="8" s="1"/>
  <c r="V19" i="8"/>
  <c r="U17" i="8"/>
  <c r="W17" i="8" s="1"/>
  <c r="V17" i="8"/>
  <c r="W25" i="8" l="1"/>
  <c r="V25" i="8"/>
  <c r="U25" i="8"/>
  <c r="I16" i="11" s="1"/>
  <c r="I45" i="2"/>
  <c r="G23" i="1" s="1"/>
  <c r="L45" i="2"/>
  <c r="G82" i="1" l="1"/>
  <c r="G81" i="1"/>
  <c r="K14" i="9"/>
  <c r="K15" i="9"/>
  <c r="K16" i="9"/>
  <c r="K17" i="9"/>
  <c r="K13" i="9"/>
  <c r="A20" i="1"/>
  <c r="A21" i="1"/>
  <c r="A28" i="1"/>
  <c r="A29" i="1"/>
  <c r="A36" i="1"/>
  <c r="A40" i="1"/>
  <c r="A42" i="1"/>
  <c r="A45" i="1"/>
  <c r="A46" i="1"/>
  <c r="A47" i="1"/>
  <c r="A52" i="1"/>
  <c r="A53" i="1"/>
  <c r="A58" i="1"/>
  <c r="A60" i="1"/>
  <c r="A61" i="1"/>
  <c r="A67" i="1"/>
  <c r="A68" i="1"/>
  <c r="A73" i="1"/>
  <c r="A74" i="1"/>
  <c r="A76" i="1"/>
  <c r="A78" i="1"/>
  <c r="A79" i="1"/>
  <c r="A80" i="1"/>
  <c r="A87" i="1"/>
  <c r="A91" i="1"/>
  <c r="A93" i="1"/>
  <c r="A94" i="1"/>
  <c r="A85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86" i="4"/>
  <c r="H101" i="4"/>
  <c r="I101" i="4"/>
  <c r="O82" i="1" l="1"/>
  <c r="K82" i="1"/>
  <c r="Q74" i="2"/>
  <c r="Q45" i="2"/>
  <c r="R45" i="2"/>
  <c r="Q60" i="2"/>
  <c r="R60" i="2"/>
  <c r="R74" i="2"/>
  <c r="T45" i="2"/>
  <c r="T60" i="2"/>
  <c r="K18" i="9"/>
  <c r="R34" i="2"/>
  <c r="T34" i="2"/>
  <c r="T20" i="2"/>
  <c r="T74" i="2"/>
  <c r="J101" i="4"/>
  <c r="G50" i="1" s="1"/>
  <c r="K50" i="1" s="1"/>
  <c r="Q76" i="2" l="1"/>
  <c r="R76" i="2"/>
  <c r="T76" i="2"/>
  <c r="L40" i="3"/>
  <c r="A61" i="3"/>
  <c r="L42" i="3" l="1"/>
  <c r="L44" i="3" s="1"/>
  <c r="R25" i="8"/>
  <c r="N25" i="8"/>
  <c r="L25" i="8"/>
  <c r="K25" i="8"/>
  <c r="J25" i="8"/>
  <c r="I25" i="8"/>
  <c r="H25" i="8"/>
  <c r="E25" i="8"/>
  <c r="N18" i="9"/>
  <c r="M18" i="9"/>
  <c r="L18" i="9"/>
  <c r="J18" i="9"/>
  <c r="H18" i="9"/>
  <c r="M38" i="7"/>
  <c r="L38" i="7"/>
  <c r="K38" i="7"/>
  <c r="J38" i="7"/>
  <c r="H38" i="7"/>
  <c r="H18" i="5"/>
  <c r="I24" i="5"/>
  <c r="H24" i="5"/>
  <c r="I83" i="4"/>
  <c r="H83" i="4"/>
  <c r="I29" i="4"/>
  <c r="H29" i="4"/>
  <c r="L60" i="2"/>
  <c r="G65" i="1" s="1"/>
  <c r="I60" i="2"/>
  <c r="G24" i="1" s="1"/>
  <c r="H60" i="2"/>
  <c r="G16" i="1" s="1"/>
  <c r="L74" i="2"/>
  <c r="I74" i="2"/>
  <c r="G25" i="1" s="1"/>
  <c r="H74" i="2"/>
  <c r="G17" i="1" s="1"/>
  <c r="I18" i="5"/>
  <c r="H15" i="6"/>
  <c r="H14" i="6"/>
  <c r="D16" i="6"/>
  <c r="A15" i="11" l="1"/>
  <c r="A5" i="11"/>
  <c r="A4" i="11"/>
  <c r="A96" i="1" l="1"/>
  <c r="G85" i="1"/>
  <c r="G84" i="1"/>
  <c r="G83" i="1"/>
  <c r="O81" i="1"/>
  <c r="A19" i="9"/>
  <c r="A20" i="9"/>
  <c r="A26" i="9"/>
  <c r="J22" i="9"/>
  <c r="J21" i="9"/>
  <c r="O15" i="9"/>
  <c r="O16" i="9"/>
  <c r="O17" i="9"/>
  <c r="A13" i="9"/>
  <c r="A5" i="9"/>
  <c r="A4" i="9"/>
  <c r="A2" i="9"/>
  <c r="K89" i="1" l="1"/>
  <c r="O89" i="1"/>
  <c r="K85" i="1"/>
  <c r="O85" i="1"/>
  <c r="G86" i="1"/>
  <c r="G92" i="1" s="1"/>
  <c r="K81" i="1"/>
  <c r="O13" i="9"/>
  <c r="O14" i="9"/>
  <c r="A14" i="9"/>
  <c r="A15" i="9" s="1"/>
  <c r="O18" i="9" l="1"/>
  <c r="A16" i="9"/>
  <c r="A17" i="9" l="1"/>
  <c r="A18" i="9" s="1"/>
  <c r="A21" i="9" s="1"/>
  <c r="A22" i="9" l="1"/>
  <c r="A25" i="9" s="1"/>
  <c r="A13" i="8" l="1"/>
  <c r="A14" i="8" l="1"/>
  <c r="A15" i="8" s="1"/>
  <c r="P25" i="8"/>
  <c r="G16" i="11" s="1"/>
  <c r="A16" i="8" l="1"/>
  <c r="A17" i="8" l="1"/>
  <c r="A18" i="8" l="1"/>
  <c r="A19" i="8" l="1"/>
  <c r="A20" i="8" s="1"/>
  <c r="A21" i="8" l="1"/>
  <c r="A22" i="8" s="1"/>
  <c r="A23" i="8" s="1"/>
  <c r="A24" i="8" s="1"/>
  <c r="A25" i="8" s="1"/>
  <c r="A5" i="8"/>
  <c r="A4" i="8"/>
  <c r="A2" i="8"/>
  <c r="G70" i="1" l="1"/>
  <c r="L36" i="7"/>
  <c r="M36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4" i="7"/>
  <c r="J37" i="7"/>
  <c r="M37" i="7" s="1"/>
  <c r="J35" i="7"/>
  <c r="M35" i="7" s="1"/>
  <c r="J34" i="7"/>
  <c r="M34" i="7" s="1"/>
  <c r="J33" i="7"/>
  <c r="M33" i="7" s="1"/>
  <c r="J15" i="7"/>
  <c r="M15" i="7" s="1"/>
  <c r="J13" i="7"/>
  <c r="A13" i="7"/>
  <c r="A14" i="7" s="1"/>
  <c r="A5" i="7"/>
  <c r="A4" i="7"/>
  <c r="A2" i="7"/>
  <c r="M14" i="7" l="1"/>
  <c r="G69" i="1"/>
  <c r="M13" i="7"/>
  <c r="G71" i="1"/>
  <c r="A15" i="7"/>
  <c r="K71" i="1" l="1"/>
  <c r="O71" i="1"/>
  <c r="G72" i="1"/>
  <c r="A16" i="7"/>
  <c r="A17" i="7" l="1"/>
  <c r="A18" i="7" s="1"/>
  <c r="A19" i="7" l="1"/>
  <c r="A20" i="7" l="1"/>
  <c r="A21" i="7" s="1"/>
  <c r="A22" i="7" l="1"/>
  <c r="A23" i="7" s="1"/>
  <c r="A24" i="7" s="1"/>
  <c r="A25" i="7" s="1"/>
  <c r="A26" i="7" s="1"/>
  <c r="A27" i="7" s="1"/>
  <c r="A28" i="7" l="1"/>
  <c r="A29" i="7" s="1"/>
  <c r="A30" i="7" s="1"/>
  <c r="A31" i="7" l="1"/>
  <c r="A32" i="7" s="1"/>
  <c r="A33" i="7" s="1"/>
  <c r="A34" i="7" s="1"/>
  <c r="A35" i="7" s="1"/>
  <c r="A36" i="7" s="1"/>
  <c r="A37" i="7" s="1"/>
  <c r="A38" i="7" s="1"/>
  <c r="A14" i="6" l="1"/>
  <c r="H16" i="6" l="1"/>
  <c r="G43" i="1" s="1"/>
  <c r="A15" i="6"/>
  <c r="A16" i="6" s="1"/>
  <c r="K43" i="1" l="1"/>
  <c r="O43" i="1"/>
  <c r="A25" i="6"/>
  <c r="A24" i="6"/>
  <c r="A17" i="6"/>
  <c r="A5" i="6"/>
  <c r="A4" i="6"/>
  <c r="A2" i="6"/>
  <c r="A26" i="5" l="1"/>
  <c r="A25" i="5"/>
  <c r="J23" i="5"/>
  <c r="J22" i="5"/>
  <c r="J21" i="5"/>
  <c r="J24" i="5" s="1"/>
  <c r="A20" i="5"/>
  <c r="A19" i="5"/>
  <c r="J17" i="5"/>
  <c r="J16" i="5"/>
  <c r="J15" i="5"/>
  <c r="J14" i="5"/>
  <c r="A14" i="5"/>
  <c r="A5" i="5"/>
  <c r="A4" i="5"/>
  <c r="A2" i="5"/>
  <c r="J18" i="5" l="1"/>
  <c r="G38" i="1"/>
  <c r="G37" i="1"/>
  <c r="A15" i="5"/>
  <c r="A16" i="5" s="1"/>
  <c r="A17" i="5" l="1"/>
  <c r="A18" i="5" l="1"/>
  <c r="A21" i="5" s="1"/>
  <c r="A22" i="5" s="1"/>
  <c r="A23" i="5" s="1"/>
  <c r="A24" i="5" s="1"/>
  <c r="A17" i="3" l="1"/>
  <c r="A20" i="3"/>
  <c r="A24" i="3"/>
  <c r="A55" i="3"/>
  <c r="A84" i="4" l="1"/>
  <c r="J28" i="4"/>
  <c r="J27" i="4" l="1"/>
  <c r="J26" i="4"/>
  <c r="J25" i="4"/>
  <c r="J24" i="4"/>
  <c r="J23" i="4"/>
  <c r="J22" i="4"/>
  <c r="J21" i="4"/>
  <c r="G49" i="1" s="1"/>
  <c r="O49" i="1" s="1"/>
  <c r="J20" i="4"/>
  <c r="J19" i="4"/>
  <c r="J18" i="4"/>
  <c r="J17" i="4"/>
  <c r="J16" i="4"/>
  <c r="J15" i="4"/>
  <c r="J14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32" i="4"/>
  <c r="A102" i="4"/>
  <c r="A31" i="4"/>
  <c r="A30" i="4"/>
  <c r="A14" i="4"/>
  <c r="A5" i="4"/>
  <c r="A4" i="4"/>
  <c r="A2" i="4"/>
  <c r="A5" i="2"/>
  <c r="A15" i="2"/>
  <c r="A17" i="2"/>
  <c r="A19" i="2"/>
  <c r="A21" i="2"/>
  <c r="A22" i="2"/>
  <c r="A30" i="2"/>
  <c r="A31" i="2"/>
  <c r="A33" i="2"/>
  <c r="A35" i="2"/>
  <c r="A36" i="2"/>
  <c r="A44" i="2"/>
  <c r="A46" i="2"/>
  <c r="A47" i="2"/>
  <c r="A59" i="2"/>
  <c r="A61" i="2"/>
  <c r="A62" i="2"/>
  <c r="A73" i="2"/>
  <c r="A81" i="2"/>
  <c r="A14" i="2"/>
  <c r="A5" i="3"/>
  <c r="J29" i="4" l="1"/>
  <c r="J83" i="4"/>
  <c r="G54" i="1"/>
  <c r="G55" i="1"/>
  <c r="G56" i="1"/>
  <c r="A15" i="4"/>
  <c r="G48" i="1"/>
  <c r="A16" i="2"/>
  <c r="A18" i="2" s="1"/>
  <c r="F20" i="2" s="1"/>
  <c r="L21" i="3" l="1"/>
  <c r="L23" i="3" s="1"/>
  <c r="L25" i="3" s="1"/>
  <c r="O48" i="1"/>
  <c r="A16" i="4"/>
  <c r="A17" i="4" s="1"/>
  <c r="A18" i="4" s="1"/>
  <c r="G57" i="1"/>
  <c r="G51" i="1"/>
  <c r="G59" i="1" l="1"/>
  <c r="G39" i="1" s="1"/>
  <c r="A19" i="4"/>
  <c r="A20" i="4" s="1"/>
  <c r="A21" i="4" l="1"/>
  <c r="A22" i="4" l="1"/>
  <c r="A23" i="4"/>
  <c r="A24" i="4" l="1"/>
  <c r="A25" i="4" l="1"/>
  <c r="A26" i="4" l="1"/>
  <c r="A27" i="4" l="1"/>
  <c r="A28" i="4" l="1"/>
  <c r="A29" i="4" l="1"/>
  <c r="A32" i="4" s="1"/>
  <c r="A33" i="4" s="1"/>
  <c r="A34" i="4" s="1"/>
  <c r="A35" i="4" s="1"/>
  <c r="A36" i="4" s="1"/>
  <c r="A37" i="4" s="1"/>
  <c r="A38" i="4" s="1"/>
  <c r="A39" i="4" l="1"/>
  <c r="J58" i="2"/>
  <c r="J57" i="2"/>
  <c r="J56" i="2"/>
  <c r="J55" i="2"/>
  <c r="J54" i="2"/>
  <c r="J53" i="2"/>
  <c r="J52" i="2"/>
  <c r="J51" i="2"/>
  <c r="J50" i="2"/>
  <c r="J49" i="2"/>
  <c r="J48" i="2"/>
  <c r="J43" i="2"/>
  <c r="J42" i="2"/>
  <c r="J41" i="2"/>
  <c r="J40" i="2"/>
  <c r="J39" i="2"/>
  <c r="J38" i="2"/>
  <c r="J37" i="2"/>
  <c r="J32" i="2"/>
  <c r="J29" i="2"/>
  <c r="J28" i="2"/>
  <c r="J27" i="2"/>
  <c r="S27" i="2" s="1"/>
  <c r="J26" i="2"/>
  <c r="J25" i="2"/>
  <c r="J24" i="2"/>
  <c r="J23" i="2"/>
  <c r="S45" i="2" l="1"/>
  <c r="S60" i="2"/>
  <c r="L33" i="3" s="1"/>
  <c r="S20" i="2"/>
  <c r="S74" i="2"/>
  <c r="J74" i="2"/>
  <c r="S34" i="2"/>
  <c r="J60" i="2"/>
  <c r="A40" i="4"/>
  <c r="G63" i="1"/>
  <c r="K24" i="1"/>
  <c r="G62" i="1"/>
  <c r="O23" i="1"/>
  <c r="J45" i="2"/>
  <c r="H45" i="2"/>
  <c r="G15" i="1" s="1"/>
  <c r="L34" i="2"/>
  <c r="I34" i="2"/>
  <c r="L20" i="2"/>
  <c r="G64" i="1" s="1"/>
  <c r="I20" i="2"/>
  <c r="G26" i="1" s="1"/>
  <c r="H20" i="2"/>
  <c r="H76" i="2" s="1"/>
  <c r="A4" i="2"/>
  <c r="A2" i="2"/>
  <c r="G18" i="1" l="1"/>
  <c r="S76" i="2"/>
  <c r="O15" i="1"/>
  <c r="K16" i="1"/>
  <c r="K32" i="1" s="1"/>
  <c r="L76" i="2"/>
  <c r="I76" i="2"/>
  <c r="G22" i="1"/>
  <c r="O22" i="1" s="1"/>
  <c r="O62" i="1"/>
  <c r="G66" i="1"/>
  <c r="G75" i="1" s="1"/>
  <c r="L13" i="3"/>
  <c r="L16" i="3" s="1"/>
  <c r="A41" i="4"/>
  <c r="A42" i="4" s="1"/>
  <c r="G33" i="1"/>
  <c r="G31" i="1"/>
  <c r="A20" i="2"/>
  <c r="J20" i="2"/>
  <c r="J34" i="2"/>
  <c r="A23" i="2" l="1"/>
  <c r="J76" i="2"/>
  <c r="G32" i="1"/>
  <c r="G30" i="1"/>
  <c r="K22" i="1"/>
  <c r="G27" i="1"/>
  <c r="O14" i="1"/>
  <c r="O30" i="1" s="1"/>
  <c r="K14" i="1"/>
  <c r="K30" i="1" s="1"/>
  <c r="G19" i="1"/>
  <c r="L35" i="3"/>
  <c r="A13" i="3"/>
  <c r="A43" i="4"/>
  <c r="A44" i="4" s="1"/>
  <c r="G34" i="1"/>
  <c r="J59" i="3"/>
  <c r="J58" i="3"/>
  <c r="G60" i="3"/>
  <c r="L18" i="3"/>
  <c r="A4" i="3"/>
  <c r="A2" i="3"/>
  <c r="A13" i="1"/>
  <c r="L58" i="3" l="1"/>
  <c r="N55" i="1" s="1"/>
  <c r="O55" i="1" s="1"/>
  <c r="A24" i="2"/>
  <c r="L37" i="3"/>
  <c r="L45" i="3" s="1"/>
  <c r="L46" i="3" s="1"/>
  <c r="G35" i="1"/>
  <c r="G41" i="1" s="1"/>
  <c r="A14" i="1"/>
  <c r="A14" i="3"/>
  <c r="J23" i="1"/>
  <c r="A45" i="4"/>
  <c r="A46" i="4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J56" i="3"/>
  <c r="N37" i="1" l="1"/>
  <c r="O37" i="1" s="1"/>
  <c r="N54" i="1"/>
  <c r="O54" i="1" s="1"/>
  <c r="N18" i="1"/>
  <c r="O18" i="1" s="1"/>
  <c r="N17" i="1"/>
  <c r="O17" i="1" s="1"/>
  <c r="N70" i="1"/>
  <c r="O70" i="1" s="1"/>
  <c r="N63" i="1"/>
  <c r="O63" i="1" s="1"/>
  <c r="N64" i="1"/>
  <c r="O64" i="1" s="1"/>
  <c r="N84" i="1"/>
  <c r="O84" i="1" s="1"/>
  <c r="N26" i="1"/>
  <c r="O26" i="1" s="1"/>
  <c r="N25" i="1"/>
  <c r="O25" i="1" s="1"/>
  <c r="A25" i="2"/>
  <c r="A15" i="3"/>
  <c r="E32" i="3"/>
  <c r="N65" i="1"/>
  <c r="O65" i="1" s="1"/>
  <c r="N16" i="1"/>
  <c r="O16" i="1" s="1"/>
  <c r="N24" i="1"/>
  <c r="O24" i="1" s="1"/>
  <c r="A16" i="3"/>
  <c r="N50" i="1"/>
  <c r="O50" i="1" s="1"/>
  <c r="O51" i="1" s="1"/>
  <c r="K23" i="1"/>
  <c r="J62" i="1"/>
  <c r="K62" i="1" s="1"/>
  <c r="I57" i="3"/>
  <c r="J57" i="3" s="1"/>
  <c r="L57" i="3" s="1"/>
  <c r="J15" i="1"/>
  <c r="K15" i="1" s="1"/>
  <c r="A15" i="1" s="1"/>
  <c r="E13" i="3" s="1"/>
  <c r="L26" i="3"/>
  <c r="O66" i="1" l="1"/>
  <c r="A26" i="2"/>
  <c r="L27" i="3"/>
  <c r="A18" i="3"/>
  <c r="E18" i="3"/>
  <c r="O32" i="1"/>
  <c r="K31" i="1"/>
  <c r="A16" i="1"/>
  <c r="O31" i="1"/>
  <c r="J60" i="3"/>
  <c r="A21" i="3"/>
  <c r="A22" i="3" s="1"/>
  <c r="A23" i="3" s="1"/>
  <c r="A25" i="3" s="1"/>
  <c r="G44" i="1"/>
  <c r="A27" i="2" l="1"/>
  <c r="A26" i="3"/>
  <c r="A27" i="3"/>
  <c r="J63" i="1"/>
  <c r="K63" i="1" s="1"/>
  <c r="J37" i="1"/>
  <c r="K37" i="1" s="1"/>
  <c r="J84" i="1"/>
  <c r="K84" i="1" s="1"/>
  <c r="J26" i="1"/>
  <c r="K26" i="1" s="1"/>
  <c r="J55" i="1"/>
  <c r="K55" i="1" s="1"/>
  <c r="J54" i="1"/>
  <c r="K54" i="1" s="1"/>
  <c r="J25" i="1"/>
  <c r="K25" i="1" s="1"/>
  <c r="J18" i="1"/>
  <c r="K18" i="1" s="1"/>
  <c r="J64" i="1"/>
  <c r="K64" i="1" s="1"/>
  <c r="J70" i="1"/>
  <c r="K70" i="1" s="1"/>
  <c r="O27" i="1"/>
  <c r="J17" i="1"/>
  <c r="K17" i="1" s="1"/>
  <c r="A17" i="1" s="1"/>
  <c r="J49" i="1"/>
  <c r="K49" i="1" s="1"/>
  <c r="J48" i="1"/>
  <c r="K48" i="1" s="1"/>
  <c r="A28" i="2" l="1"/>
  <c r="A29" i="2" s="1"/>
  <c r="A32" i="2" s="1"/>
  <c r="A31" i="3"/>
  <c r="A18" i="1"/>
  <c r="K66" i="1"/>
  <c r="K34" i="1"/>
  <c r="K27" i="1"/>
  <c r="O34" i="1"/>
  <c r="K33" i="1"/>
  <c r="K19" i="1"/>
  <c r="A34" i="2" l="1"/>
  <c r="A37" i="2" s="1"/>
  <c r="F34" i="2"/>
  <c r="A32" i="3"/>
  <c r="K35" i="1"/>
  <c r="O33" i="1"/>
  <c r="O35" i="1" s="1"/>
  <c r="N35" i="1" s="1"/>
  <c r="O19" i="1"/>
  <c r="J19" i="1"/>
  <c r="J69" i="1" s="1"/>
  <c r="K69" i="1" s="1"/>
  <c r="A38" i="2" l="1"/>
  <c r="A39" i="2" s="1"/>
  <c r="A40" i="2" s="1"/>
  <c r="A41" i="2" s="1"/>
  <c r="A42" i="2" s="1"/>
  <c r="A43" i="2" s="1"/>
  <c r="A45" i="2" s="1"/>
  <c r="A48" i="2" s="1"/>
  <c r="A33" i="3"/>
  <c r="J35" i="1"/>
  <c r="J56" i="1" s="1"/>
  <c r="K56" i="1" s="1"/>
  <c r="K57" i="1" s="1"/>
  <c r="K59" i="1" s="1"/>
  <c r="K39" i="1" s="1"/>
  <c r="N19" i="1"/>
  <c r="N69" i="1" s="1"/>
  <c r="O69" i="1" s="1"/>
  <c r="O72" i="1" s="1"/>
  <c r="A19" i="1"/>
  <c r="J83" i="1"/>
  <c r="K83" i="1" s="1"/>
  <c r="K86" i="1" s="1"/>
  <c r="K92" i="1" s="1"/>
  <c r="K72" i="1"/>
  <c r="N83" i="1"/>
  <c r="O83" i="1" s="1"/>
  <c r="F45" i="2" l="1"/>
  <c r="A49" i="2"/>
  <c r="A50" i="2" s="1"/>
  <c r="A51" i="2" s="1"/>
  <c r="A52" i="2" s="1"/>
  <c r="A53" i="2" s="1"/>
  <c r="A54" i="2" s="1"/>
  <c r="A55" i="2" s="1"/>
  <c r="A56" i="2" s="1"/>
  <c r="A57" i="2" s="1"/>
  <c r="A58" i="2" s="1"/>
  <c r="A60" i="2" s="1"/>
  <c r="A63" i="2" s="1"/>
  <c r="A34" i="3"/>
  <c r="K41" i="1"/>
  <c r="K44" i="1" s="1"/>
  <c r="A22" i="1"/>
  <c r="A23" i="1" s="1"/>
  <c r="O86" i="1"/>
  <c r="O92" i="1" s="1"/>
  <c r="N56" i="1"/>
  <c r="O56" i="1" s="1"/>
  <c r="O57" i="1" s="1"/>
  <c r="O59" i="1" s="1"/>
  <c r="K75" i="1"/>
  <c r="F60" i="2" l="1"/>
  <c r="A64" i="2"/>
  <c r="A65" i="2" s="1"/>
  <c r="A66" i="2" s="1"/>
  <c r="A67" i="2" s="1"/>
  <c r="A68" i="2" s="1"/>
  <c r="A69" i="2" s="1"/>
  <c r="A70" i="2" s="1"/>
  <c r="A71" i="2" s="1"/>
  <c r="A72" i="2" s="1"/>
  <c r="A74" i="2" s="1"/>
  <c r="A75" i="2" s="1"/>
  <c r="A35" i="3"/>
  <c r="O75" i="1"/>
  <c r="O39" i="1"/>
  <c r="A24" i="1"/>
  <c r="A25" i="1" s="1"/>
  <c r="A26" i="1" s="1"/>
  <c r="A27" i="1" s="1"/>
  <c r="A30" i="1" s="1"/>
  <c r="A31" i="1" s="1"/>
  <c r="A32" i="1" s="1"/>
  <c r="A33" i="1" s="1"/>
  <c r="K77" i="1"/>
  <c r="K95" i="1" s="1"/>
  <c r="F76" i="2" l="1"/>
  <c r="F74" i="2"/>
  <c r="A37" i="3"/>
  <c r="E37" i="3"/>
  <c r="A34" i="1"/>
  <c r="A35" i="1" s="1"/>
  <c r="A37" i="1" s="1"/>
  <c r="A38" i="1" s="1"/>
  <c r="A39" i="1" s="1"/>
  <c r="E31" i="3"/>
  <c r="O41" i="1"/>
  <c r="G13" i="11"/>
  <c r="G19" i="11" s="1"/>
  <c r="A40" i="3" l="1"/>
  <c r="E45" i="3"/>
  <c r="A41" i="1"/>
  <c r="A43" i="1" s="1"/>
  <c r="O44" i="1"/>
  <c r="O77" i="1" s="1"/>
  <c r="O95" i="1" s="1"/>
  <c r="I13" i="11" s="1"/>
  <c r="A41" i="3" l="1"/>
  <c r="A42" i="3" s="1"/>
  <c r="G20" i="11"/>
  <c r="G21" i="11"/>
  <c r="G22" i="11" s="1"/>
  <c r="G23" i="11"/>
  <c r="I19" i="11"/>
  <c r="A44" i="1"/>
  <c r="A13" i="11"/>
  <c r="E44" i="3" l="1"/>
  <c r="A44" i="3"/>
  <c r="E42" i="3"/>
  <c r="I20" i="11"/>
  <c r="I21" i="11"/>
  <c r="I22" i="11" s="1"/>
  <c r="I23" i="11"/>
  <c r="A16" i="11"/>
  <c r="A48" i="1"/>
  <c r="A45" i="3" l="1"/>
  <c r="A49" i="1"/>
  <c r="A50" i="1" s="1"/>
  <c r="E21" i="3"/>
  <c r="A19" i="11"/>
  <c r="A20" i="11" s="1"/>
  <c r="E46" i="3" l="1"/>
  <c r="A46" i="3"/>
  <c r="A49" i="3" s="1"/>
  <c r="A51" i="1"/>
  <c r="E40" i="3"/>
  <c r="A21" i="11"/>
  <c r="A50" i="3" l="1"/>
  <c r="A51" i="3" s="1"/>
  <c r="A56" i="3" s="1"/>
  <c r="A57" i="3" s="1"/>
  <c r="A58" i="3" s="1"/>
  <c r="A59" i="3" s="1"/>
  <c r="A60" i="3" s="1"/>
  <c r="A54" i="1"/>
  <c r="A55" i="1" s="1"/>
  <c r="A56" i="1" s="1"/>
  <c r="A57" i="1" s="1"/>
  <c r="A59" i="1" s="1"/>
  <c r="A62" i="1" s="1"/>
  <c r="A63" i="1" s="1"/>
  <c r="A64" i="1" s="1"/>
  <c r="A65" i="1" s="1"/>
  <c r="A66" i="1" s="1"/>
  <c r="A69" i="1" s="1"/>
  <c r="A70" i="1" s="1"/>
  <c r="A22" i="11"/>
  <c r="A23" i="11" s="1"/>
  <c r="E51" i="3" l="1"/>
  <c r="A71" i="1"/>
  <c r="A72" i="1" s="1"/>
  <c r="A75" i="1" s="1"/>
  <c r="A77" i="1" s="1"/>
  <c r="A81" i="1" s="1"/>
  <c r="A82" i="1" s="1"/>
  <c r="A83" i="1" s="1"/>
  <c r="A84" i="1" s="1"/>
  <c r="A85" i="1" s="1"/>
  <c r="A86" i="1" s="1"/>
  <c r="A88" i="1" s="1"/>
  <c r="A92" i="1" s="1"/>
  <c r="A95" i="1" s="1"/>
</calcChain>
</file>

<file path=xl/sharedStrings.xml><?xml version="1.0" encoding="utf-8"?>
<sst xmlns="http://schemas.openxmlformats.org/spreadsheetml/2006/main" count="1097" uniqueCount="620">
  <si>
    <t>Exhibit I</t>
  </si>
  <si>
    <t>No.</t>
  </si>
  <si>
    <t>(a)</t>
  </si>
  <si>
    <t>(b)</t>
  </si>
  <si>
    <t>(c)</t>
  </si>
  <si>
    <t>(d)</t>
  </si>
  <si>
    <t>(e)</t>
  </si>
  <si>
    <t>(f)</t>
  </si>
  <si>
    <t>Rate Base</t>
  </si>
  <si>
    <t>Gross Plant in Service:</t>
  </si>
  <si>
    <t>Production Plant</t>
  </si>
  <si>
    <t>General Plant</t>
  </si>
  <si>
    <t>Intangible Plant</t>
  </si>
  <si>
    <t>Total Gross Plant in Service</t>
  </si>
  <si>
    <t>Accumulated Depreciation:</t>
  </si>
  <si>
    <t>Total Accumulated Depreciation</t>
  </si>
  <si>
    <t>Net Plant In Service:</t>
  </si>
  <si>
    <t>Total Net Plant in Service</t>
  </si>
  <si>
    <t>Prepayments</t>
  </si>
  <si>
    <t>Cash Working Capital</t>
  </si>
  <si>
    <t>Total Rate Base</t>
  </si>
  <si>
    <t>Rate of Return</t>
  </si>
  <si>
    <t>Return on Rate Base</t>
  </si>
  <si>
    <t>Expenses</t>
  </si>
  <si>
    <t>Taxes Other Than Income Taxes</t>
  </si>
  <si>
    <t>Total Expenses</t>
  </si>
  <si>
    <t>Revenue Credits</t>
  </si>
  <si>
    <t>Total Revenue Credits</t>
  </si>
  <si>
    <t>Grant County Public Utility District</t>
  </si>
  <si>
    <t>Transmission Cost of Service</t>
  </si>
  <si>
    <t>Fiscal Year Ending December 31, 2017</t>
  </si>
  <si>
    <t>Transmission</t>
  </si>
  <si>
    <t>Transmission Plant</t>
  </si>
  <si>
    <t>Materials &amp; Supplies</t>
  </si>
  <si>
    <t>Total</t>
  </si>
  <si>
    <t>Electric</t>
  </si>
  <si>
    <t>Source/Reference</t>
  </si>
  <si>
    <t>Allocator</t>
  </si>
  <si>
    <t>Type</t>
  </si>
  <si>
    <t>%</t>
  </si>
  <si>
    <t>Allocated to</t>
  </si>
  <si>
    <t>Appendix A</t>
  </si>
  <si>
    <t>Development of Allocators</t>
  </si>
  <si>
    <t>Line</t>
  </si>
  <si>
    <t>TP=</t>
  </si>
  <si>
    <t>Included transmission expenses ( line 6 less line 7)</t>
  </si>
  <si>
    <t>TP</t>
  </si>
  <si>
    <t>TE=</t>
  </si>
  <si>
    <t>$</t>
  </si>
  <si>
    <t>Allocation</t>
  </si>
  <si>
    <t>($ / Allocation)</t>
  </si>
  <si>
    <t>=</t>
  </si>
  <si>
    <t xml:space="preserve"> </t>
  </si>
  <si>
    <t>FERC Acct Name</t>
  </si>
  <si>
    <t>GCPUD Description</t>
  </si>
  <si>
    <t>Gross Plant</t>
  </si>
  <si>
    <t xml:space="preserve">Accumulated </t>
  </si>
  <si>
    <t>Depreciation</t>
  </si>
  <si>
    <t>Net Plant</t>
  </si>
  <si>
    <t>Expense</t>
  </si>
  <si>
    <t>Organization</t>
  </si>
  <si>
    <t>Franchises and consents</t>
  </si>
  <si>
    <t>Miscellaneous intangible plant</t>
  </si>
  <si>
    <t>Hydro Production</t>
  </si>
  <si>
    <t>Land and Land Rights</t>
  </si>
  <si>
    <t>Structures and improvements</t>
  </si>
  <si>
    <t>Reservoirs, dams, and waterways</t>
  </si>
  <si>
    <t>Water sheels, turbines and generators</t>
  </si>
  <si>
    <t>Accessory electric equipment</t>
  </si>
  <si>
    <t>Miscellaneous power plant equipment</t>
  </si>
  <si>
    <t>Roads, railroads and bridges</t>
  </si>
  <si>
    <t>Other Production (Wind)</t>
  </si>
  <si>
    <t>Station Equipment</t>
  </si>
  <si>
    <t>Towers and fixtures</t>
  </si>
  <si>
    <t>Poles and fixtures</t>
  </si>
  <si>
    <t>Overhead conductors and devices</t>
  </si>
  <si>
    <t>Roads and trails</t>
  </si>
  <si>
    <t>Distribution Plant</t>
  </si>
  <si>
    <t>Line Transformers</t>
  </si>
  <si>
    <t>Meters</t>
  </si>
  <si>
    <t>Station equipment</t>
  </si>
  <si>
    <t>Poles, towers and fixturs</t>
  </si>
  <si>
    <t>Underground conduit</t>
  </si>
  <si>
    <t>Underground conductors and devices</t>
  </si>
  <si>
    <t>Services</t>
  </si>
  <si>
    <t>Street lighting and signal systems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</si>
  <si>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</si>
  <si>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</si>
  <si>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</si>
  <si>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</si>
  <si>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</si>
  <si>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operatied equipment</t>
  </si>
  <si>
    <t>Communication equipment</t>
  </si>
  <si>
    <t>Miscellanious equipment</t>
  </si>
  <si>
    <t>FERC</t>
  </si>
  <si>
    <t>Acct No.</t>
  </si>
  <si>
    <t>Exhibit II</t>
  </si>
  <si>
    <t>Gross Plant Investments, Accumulated Depreciation and Depreciation Expense</t>
  </si>
  <si>
    <t>in Service</t>
  </si>
  <si>
    <t>Subtotal Intangible Plant</t>
  </si>
  <si>
    <t>Subtotal Production Plant</t>
  </si>
  <si>
    <t>Subtotal Transmission Plant</t>
  </si>
  <si>
    <t>Subtotal Distribution Plant</t>
  </si>
  <si>
    <t>Subtotal General Plant</t>
  </si>
  <si>
    <t>Intangible</t>
  </si>
  <si>
    <t>Less transmission plant included in Ancillary Services</t>
  </si>
  <si>
    <t>Note A</t>
  </si>
  <si>
    <t>Note B</t>
  </si>
  <si>
    <t xml:space="preserve">Transmission Plant Included in Rates  </t>
  </si>
  <si>
    <t>balances on Grant PUD's books are adjusted to reflect the removal of such costs from the transmission function.</t>
  </si>
  <si>
    <t xml:space="preserve">deemed included in ancillary services.  For these purposes, generation step-up facilities are those facilities at a generator substation on which there is no </t>
  </si>
  <si>
    <t>through-flow when the generator is shut down.</t>
  </si>
  <si>
    <t>Notes</t>
  </si>
  <si>
    <t>A</t>
  </si>
  <si>
    <t>Removes transmission plant determined  to be state-jurisdictional by FERC order according to the seven-factor test (e.g., radial facilities), until</t>
  </si>
  <si>
    <t>B</t>
  </si>
  <si>
    <t xml:space="preserve">Removes dollar amount of transmission plant included in the development of ancillary services rates and generation step-up facilities, which are </t>
  </si>
  <si>
    <t>(g)</t>
  </si>
  <si>
    <t>(h)</t>
  </si>
  <si>
    <t xml:space="preserve">Source: Excel spreadsheet "2017 2016 financials.xlsx". </t>
  </si>
  <si>
    <t>Operations &amp; Maintenance Expenses and Administrative &amp; General Expenses</t>
  </si>
  <si>
    <t>1001-560000 Elect Revenue-T/Opers Supv &amp; Eng</t>
  </si>
  <si>
    <t>1001-561000 Elect Revenue-T/Opers Load Dispatching</t>
  </si>
  <si>
    <t>1001-561010 Elect Revenue-T/Opers Load Dispatch Gen</t>
  </si>
  <si>
    <t>1001-561500 Elect Revenue-T/Opers Load Dispatch QC</t>
  </si>
  <si>
    <t>1001-561600 Elect Revenue-T/Opers Load Dispatch PEC</t>
  </si>
  <si>
    <t>1001-562000 Elect Revenue-T/Opers Station Exp</t>
  </si>
  <si>
    <t>1001-563000 Elect Revenue-T/Opers OH Line Exp</t>
  </si>
  <si>
    <t>1001-565010 Elect Revenue-T/Transmission By Others</t>
  </si>
  <si>
    <t>1001-566000 Elect Revenue-T/Opers Misc Exp</t>
  </si>
  <si>
    <t>1001-568000 Elect Revenue-T/Maint Supr &amp; Eng</t>
  </si>
  <si>
    <t>1001-570000 Elect Revenue-T/Maint Sta Equip</t>
  </si>
  <si>
    <t>1001-571050 Elect Revenue-T/Maint OH Lines</t>
  </si>
  <si>
    <t>7001-561010 PRP Revenue-T/Opers Load Dispatch Gen</t>
  </si>
  <si>
    <t>7001-567000 PRP Revenue-T/Opers Transmission Rent</t>
  </si>
  <si>
    <t>7001-570010 PRP Revenue-T/Maint Sta General</t>
  </si>
  <si>
    <t>Transmission O&amp;M Expenses:</t>
  </si>
  <si>
    <t>Total Transmission O&amp;M Expenses</t>
  </si>
  <si>
    <t>Administrative &amp; General Expenses</t>
  </si>
  <si>
    <t>1001-920010 Elect Revenue-A&amp;G Salaries General</t>
  </si>
  <si>
    <t>1001-920050 Elect Revenue-A&amp;G Certificate Pay</t>
  </si>
  <si>
    <t>1001-920060 Elect Revenue-A&amp;G Performance Recognition Pr</t>
  </si>
  <si>
    <t>1001-921010 Elect Revenue-Ofc Sup&amp;Exp General</t>
  </si>
  <si>
    <t>1001-921030 Elect Revenue-Ofc Sup&amp;Exp EDP</t>
  </si>
  <si>
    <t>1001-921500 Elect Revenue-Ofc Sup&amp;Exp QC Admin Costs</t>
  </si>
  <si>
    <t>1001-921600 Elect Revenue-Ofc Sup&amp;Exp PEC Admin Costs</t>
  </si>
  <si>
    <t>1001-923010 Elect Revenue-O/S Services Attorney</t>
  </si>
  <si>
    <t>1001-923020 Elect Revenue-O/S Services Auditors</t>
  </si>
  <si>
    <t>1001-923030 Elect Revenue-O/S Services Consultants</t>
  </si>
  <si>
    <t>1001-924020 Elect Revenue-Property Insurance</t>
  </si>
  <si>
    <t>1001-924500 Elect Revenue-Property Insurance QC</t>
  </si>
  <si>
    <t>1001-924600 Elect Revenue-Property Insurance PEC</t>
  </si>
  <si>
    <t>1001-925030 Elect Revenue-Inj &amp; Damages General</t>
  </si>
  <si>
    <t>1001-925040 Elect Revenue-Inj &amp; Damages Liab Insur</t>
  </si>
  <si>
    <t>1001-925050 Elect Revenue-Inj &amp; Damages Minor Claims</t>
  </si>
  <si>
    <t>1001-926010 Elect Revenue-PERS 1 Expense</t>
  </si>
  <si>
    <t>1001-926020 Elect Revenue-PERS 2/3 Expense</t>
  </si>
  <si>
    <t>1001-926900 Elect Revenue-PERS Expense Reclass GASB 68</t>
  </si>
  <si>
    <t>1001-926999 Elect Revenue-OPEB Expense</t>
  </si>
  <si>
    <t>1001-928500 Elect Revenue-Reg Comm Exp Ferc QC</t>
  </si>
  <si>
    <t>1001-928600 Elect Revenue-Reg Comm Exp Ferc PEC</t>
  </si>
  <si>
    <t>1001-929010 Elect Revenue-Dup Charges Kwh Use</t>
  </si>
  <si>
    <t>1001-929020 Elect Revenue-Dup Charges Admin Off Rent</t>
  </si>
  <si>
    <t>1001-929980 Elect Revenue-G&amp;A Capitalized On CWIP</t>
  </si>
  <si>
    <t>1001-930010 Elect Revenue-Misc General Expense</t>
  </si>
  <si>
    <t>1001-930110 Elect Revenue-Gen Ad Exp Public Relations</t>
  </si>
  <si>
    <t>1001-935010 Elect Revenue-Maint Gen Plt Misc</t>
  </si>
  <si>
    <t>1001-935020 Elect Revenue-Maint Gen Plt Communication</t>
  </si>
  <si>
    <t>7001-920010 PRP Revenue-A&amp;G Salaries General</t>
  </si>
  <si>
    <t>7001-920050 PRP Revenue-A&amp;G Certificate Pay</t>
  </si>
  <si>
    <t>7001-920060 PRP Revenue-A&amp;G Performance Recognition Pr</t>
  </si>
  <si>
    <t>7001-921010 PRP Revenue-Ofc Sup&amp;Exp General</t>
  </si>
  <si>
    <t>7001-921030 PRP Revenue-Ofc Sup&amp;Exp EDP</t>
  </si>
  <si>
    <t>7001-923010 PRP Revenue-O/S Services Attorney</t>
  </si>
  <si>
    <t>7001-923020 PRP Revenue-O/S Services Auditors</t>
  </si>
  <si>
    <t>7001-924020 PRP Revenue-Property Insurance</t>
  </si>
  <si>
    <t>7001-925030 PRP Revenue-Inj &amp; Damages General</t>
  </si>
  <si>
    <t>7001-925040 PRP Revenue-Inj &amp; Damages Liab Insur</t>
  </si>
  <si>
    <t>7001-926010 PRP Revenue-PERS 1 Expense</t>
  </si>
  <si>
    <t>7001-926020 PRP Revenue-PERS 2/3 Expense</t>
  </si>
  <si>
    <t>7001-926900 PRP Revenue-PERS Expense Reclass GASB 68</t>
  </si>
  <si>
    <t>7001-926999 PRP Revenue-OPEB Expense</t>
  </si>
  <si>
    <t>7001-928010 PRP Revenue-Reg Comm Exp Fed Pwr Comm</t>
  </si>
  <si>
    <t>7001-929980 PRP Revenue-G&amp;A Capitalized On CWIP</t>
  </si>
  <si>
    <t>7001-930010 PRP Revenue-Misc General Expense</t>
  </si>
  <si>
    <t>7001-930110 PRP Revenue-Gen Ad Exp Public Relations</t>
  </si>
  <si>
    <t>7001-931000 PRP Revenue-Rents Ephrata Office</t>
  </si>
  <si>
    <t>7001-931010 PRP Revenue-Lease Expense</t>
  </si>
  <si>
    <t>7001-935010 PRP Revenue-Maint Gen Plt Misc</t>
  </si>
  <si>
    <t>7001-935020 PRP Revenue-Maint Gen Plt Communication</t>
  </si>
  <si>
    <t>Adjustments</t>
  </si>
  <si>
    <t>Adjusted</t>
  </si>
  <si>
    <t>Total A&amp;G Expenses</t>
  </si>
  <si>
    <t>(d)+(e)</t>
  </si>
  <si>
    <t xml:space="preserve">Administrative and General Salaries </t>
  </si>
  <si>
    <t xml:space="preserve">Office Supplies and Expenses </t>
  </si>
  <si>
    <t>Outside Services Employed</t>
  </si>
  <si>
    <t>Property Insurance</t>
  </si>
  <si>
    <t xml:space="preserve">Injuries and Damages </t>
  </si>
  <si>
    <t xml:space="preserve">Employee Pensions and Benefits </t>
  </si>
  <si>
    <t xml:space="preserve">Regulatory Commission Expenses </t>
  </si>
  <si>
    <t xml:space="preserve">Duplicate Charges-Cr. </t>
  </si>
  <si>
    <t>Miscellaneous General Expenses</t>
  </si>
  <si>
    <t>General Advertising Expenses</t>
  </si>
  <si>
    <t xml:space="preserve">Maintenance of General Plant </t>
  </si>
  <si>
    <t>Rents</t>
  </si>
  <si>
    <t>Operation Supervision and Engineering</t>
  </si>
  <si>
    <t xml:space="preserve">Load Dispatching </t>
  </si>
  <si>
    <t xml:space="preserve">Reliability, Planning and Standards Development </t>
  </si>
  <si>
    <t>Transmission Service Studies</t>
  </si>
  <si>
    <t xml:space="preserve">Station Expenses </t>
  </si>
  <si>
    <t xml:space="preserve">Overhead Lines Expenses </t>
  </si>
  <si>
    <t>Transmission of Electricity by Others</t>
  </si>
  <si>
    <t xml:space="preserve">Miscellaneous Transmission Expenses </t>
  </si>
  <si>
    <t xml:space="preserve">Maintenance Supervision and Engineering </t>
  </si>
  <si>
    <t xml:space="preserve">Maintenance of Station Equipment </t>
  </si>
  <si>
    <t xml:space="preserve">Maintenance of Overhead Lines </t>
  </si>
  <si>
    <t>(Note B)</t>
  </si>
  <si>
    <t>Adjustments to be identified in column (g).</t>
  </si>
  <si>
    <t>Comments</t>
  </si>
  <si>
    <t>Comments re: Adjustments</t>
  </si>
  <si>
    <t>Exhibit III</t>
  </si>
  <si>
    <t>Line 1 - Line 7</t>
  </si>
  <si>
    <t>Line 2 - Line 8</t>
  </si>
  <si>
    <t>Line 3 - Line 9</t>
  </si>
  <si>
    <t>Line 4 - Line 10</t>
  </si>
  <si>
    <t>Line 5 - Line 11</t>
  </si>
  <si>
    <t>O&amp;M Expenses:</t>
  </si>
  <si>
    <t>Transmission O&amp;M</t>
  </si>
  <si>
    <t>Total A&amp;G</t>
  </si>
  <si>
    <t>Allocable A&amp;G Expenses:</t>
  </si>
  <si>
    <t>Total O&amp;M Expenses</t>
  </si>
  <si>
    <t>N/A</t>
  </si>
  <si>
    <t xml:space="preserve">Total transmission expenses  </t>
  </si>
  <si>
    <t>Note C</t>
  </si>
  <si>
    <t>C</t>
  </si>
  <si>
    <t xml:space="preserve">Removes dollar amount of transmission expenses included in the ancillary services rates. </t>
  </si>
  <si>
    <t xml:space="preserve">Less Transmission Expenses Included in Ancillary Services </t>
  </si>
  <si>
    <t>(d)-(e)</t>
  </si>
  <si>
    <t xml:space="preserve">Percentage of Transmission Expenses After Adjustment </t>
  </si>
  <si>
    <t>Line 5</t>
  </si>
  <si>
    <t>Line 9 * Line 10</t>
  </si>
  <si>
    <t>TRANSMISSION PLANT INCLUDED IN RATES:</t>
  </si>
  <si>
    <t>TRANSMISSION EXPENSES:</t>
  </si>
  <si>
    <t xml:space="preserve">Percentage of Transmission Plant Included in Rates </t>
  </si>
  <si>
    <t xml:space="preserve">Percentage of Transmission Expenses Included in Rates  </t>
  </si>
  <si>
    <t>WAGES &amp; SALARY ALLOCATOR (W&amp;S):</t>
  </si>
  <si>
    <t>Sum of Lines 12-15</t>
  </si>
  <si>
    <t>1/8 of O&amp;M</t>
  </si>
  <si>
    <t>TE</t>
  </si>
  <si>
    <t>1/8</t>
  </si>
  <si>
    <t>Percentage of Gross Transmission Plant Included in Rates</t>
  </si>
  <si>
    <t>Total Transmission Gross Plant</t>
  </si>
  <si>
    <t>Line 8 / Line 6</t>
  </si>
  <si>
    <t>Plus Property Insurance (Account 924)</t>
  </si>
  <si>
    <t>Depreciation Expenses:</t>
  </si>
  <si>
    <t>General</t>
  </si>
  <si>
    <t>Total Depreciation Expenses</t>
  </si>
  <si>
    <t>Total O&amp;M and A&amp;G Expenses</t>
  </si>
  <si>
    <t>Materials and Supplies and Prepayments</t>
  </si>
  <si>
    <t>Materials and Supplies:</t>
  </si>
  <si>
    <t>1001-154110 Elect Revenue-Plant Matls/Stores</t>
  </si>
  <si>
    <t>1001-154999 Elect Revenue-Inventory Clearing</t>
  </si>
  <si>
    <t>1001-163010 Elect Revenue-Undist Stores Overhead</t>
  </si>
  <si>
    <t>1001-163020 Elect Revenue-Inventory Count Variance</t>
  </si>
  <si>
    <t>Total Materials and Supplies</t>
  </si>
  <si>
    <t>Plant Materials and Operating Supplies</t>
  </si>
  <si>
    <t>Stores Expense Undistributed</t>
  </si>
  <si>
    <t>Exhibit IV</t>
  </si>
  <si>
    <t>1001-165010 Elect Revenue-Prepayments Insurance</t>
  </si>
  <si>
    <t>7001-165010 PRP Revenue-Prepayments Insurance</t>
  </si>
  <si>
    <t>7001-165030 PRP Revenue-Prepayments Water Rights</t>
  </si>
  <si>
    <t>Total Prepayments</t>
  </si>
  <si>
    <t>Unrelated to the transmission function.</t>
  </si>
  <si>
    <t>Exhibit V</t>
  </si>
  <si>
    <t>Return/Capitalization Calculations:</t>
  </si>
  <si>
    <t>Capital Component</t>
  </si>
  <si>
    <t>Capitalization</t>
  </si>
  <si>
    <t>Ratio (Note A)</t>
  </si>
  <si>
    <t>Target capitalization ratio established by Grant County PUD.</t>
  </si>
  <si>
    <t>Cost of</t>
  </si>
  <si>
    <t>Capital</t>
  </si>
  <si>
    <t>Long Term Debt (Note B)</t>
  </si>
  <si>
    <t>Proprietary Capital (Note C)</t>
  </si>
  <si>
    <t>Weighted Average</t>
  </si>
  <si>
    <t>Cost of Capital</t>
  </si>
  <si>
    <t>Line 22 * Line 23</t>
  </si>
  <si>
    <t xml:space="preserve">which are both interconnected with Grant County PUD.  Avista Corporation is also interconnected to the Grant </t>
  </si>
  <si>
    <t xml:space="preserve">County PUD transmission system.  However, Avista's transmission rate is currently based on a stated rate and, </t>
  </si>
  <si>
    <t>therefore, there is no specific ROE that has been identified in the determination of the transmission rate (i.e.,</t>
  </si>
  <si>
    <t>based on a settled black box).</t>
  </si>
  <si>
    <t>Line 25 - Line 26</t>
  </si>
  <si>
    <t>Taxes Other Than Income Taxes:</t>
  </si>
  <si>
    <t>Exhibit VI</t>
  </si>
  <si>
    <t>1001-236110 Elect Revenue-Accrd Tax Public Util</t>
  </si>
  <si>
    <t>1001-236120 Elect Revenue-Accrd Tax Privilege</t>
  </si>
  <si>
    <t>1001-236130 Elect Revenue-Accrd Tax Service Other</t>
  </si>
  <si>
    <t>1001-236210 Elect Revenue-Accrd City Tax Ephrata</t>
  </si>
  <si>
    <t>1001-236220 Elect Revenue-Accrd City Tax Moses Lake</t>
  </si>
  <si>
    <t>1001-236230 Elect Revenue-Accrd City Tax Quincy</t>
  </si>
  <si>
    <t>1001-236250 Elect Revenue-Accrd City Tax Soap Lake</t>
  </si>
  <si>
    <t>1001-236260 Elect Revenue-Accrd City Tax Warden</t>
  </si>
  <si>
    <t>1001-236270 Elect Revenue-Accrd City Tax Wilson Creek</t>
  </si>
  <si>
    <t>1001-236290 Elect Revenue-Accrd City Tax Royal City</t>
  </si>
  <si>
    <t>1001-236300 Elect Revenue-Accrd City Tax George</t>
  </si>
  <si>
    <t>1001-236310 Elect Revenue-Accrd City Tax Grd Coulee</t>
  </si>
  <si>
    <t>1001-236320 Elect Revenue-Accrd City Tax Electric City</t>
  </si>
  <si>
    <t>1001-236330 Elect Revenue-Accrd City Tax Mattawa</t>
  </si>
  <si>
    <t>1001-236340 Elect Revenue-Accrd City Tax Hartline</t>
  </si>
  <si>
    <t>1001-236350 Elect Revenue-Accrd City Tax Coulee City</t>
  </si>
  <si>
    <t>1001-236510 Elect Revenue-Accrd Tax Privilege QC</t>
  </si>
  <si>
    <t>1001-236600 Elect Revenue-Accrd Tax Privilege PEC</t>
  </si>
  <si>
    <t>1001-241310 Elect Revenue-Tax Coll Retail Sales Tax</t>
  </si>
  <si>
    <t>1001-241801 Elect Revenue-Wfon Tax Coll Ret Sales Tax</t>
  </si>
  <si>
    <t>4030-241030 Servi Operating-Tax Pay Leasehold Excise</t>
  </si>
  <si>
    <t>4030-241520 Servi Operating-Tax Pay Use Tax Unincorp</t>
  </si>
  <si>
    <t>7001-236110 PRP Revenue-Accrd Tax Public Utility</t>
  </si>
  <si>
    <t>7001-236120 PRP Revenue-Accrd Tax Privilege</t>
  </si>
  <si>
    <t>7001-236130 PRP Revenue-Accrd Tax Service Other</t>
  </si>
  <si>
    <t>Accrued Taxes:</t>
  </si>
  <si>
    <t>Taxes Accrued</t>
  </si>
  <si>
    <t>Tax Collections Payable</t>
  </si>
  <si>
    <t>Total Accrued Taxes</t>
  </si>
  <si>
    <t>Privilege tax related to hydro developments.</t>
  </si>
  <si>
    <t>Retail related tax.</t>
  </si>
  <si>
    <t>City tax related to retail.</t>
  </si>
  <si>
    <t>Plant Related</t>
  </si>
  <si>
    <t>GP</t>
  </si>
  <si>
    <t>Labor Related</t>
  </si>
  <si>
    <t>Plant</t>
  </si>
  <si>
    <t>Labor</t>
  </si>
  <si>
    <t>Other</t>
  </si>
  <si>
    <t>Comments re: Allocation</t>
  </si>
  <si>
    <t>(Note A)</t>
  </si>
  <si>
    <t>(i)</t>
  </si>
  <si>
    <t>Other Related</t>
  </si>
  <si>
    <t>Total Taxes Other Than Income Taxes</t>
  </si>
  <si>
    <t>(e)+(f)+(g)</t>
  </si>
  <si>
    <t>Average cost of Grant County PUD's outstanding long-term debt.</t>
  </si>
  <si>
    <t xml:space="preserve">Cost of equity based on the FERC approved return on equities (ROE) of PacifiCorp and Puget Sound Energy, </t>
  </si>
  <si>
    <t>Only general advertising related to transmission (i.e., Safety, Education &amp; Outreach) is includable.</t>
  </si>
  <si>
    <t>Line 28 - Line 29 + Line 30</t>
  </si>
  <si>
    <t>Line 21 + Line 31</t>
  </si>
  <si>
    <t>Line 33 + Line 34 + Line 35</t>
  </si>
  <si>
    <t>Line 37 + Line 38 + Line 39</t>
  </si>
  <si>
    <t>Line 32 + Line 36 + Line 40</t>
  </si>
  <si>
    <t>Loads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</si>
  <si>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</si>
  <si>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</si>
  <si>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</si>
  <si>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</si>
  <si>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</si>
  <si>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</si>
  <si>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</si>
  <si>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</si>
  <si>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</si>
  <si>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</si>
  <si>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</si>
  <si>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</si>
  <si>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</si>
  <si>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Calc'd GCPD_BA_LOAD MMAX</t>
  </si>
  <si>
    <t>Line No.</t>
  </si>
  <si>
    <t>Calc'd GCPD_BA_LOAD MMAX TIME</t>
  </si>
  <si>
    <t>13 08</t>
  </si>
  <si>
    <t>02 08</t>
  </si>
  <si>
    <t>07 07</t>
  </si>
  <si>
    <t>11 07</t>
  </si>
  <si>
    <t>30 17</t>
  </si>
  <si>
    <t>26 16</t>
  </si>
  <si>
    <t>06 16</t>
  </si>
  <si>
    <t>01 17</t>
  </si>
  <si>
    <t>12 07</t>
  </si>
  <si>
    <t>24 09</t>
  </si>
  <si>
    <t>Loads During BA Peak</t>
  </si>
  <si>
    <t>System Load</t>
  </si>
  <si>
    <t>Schrag</t>
  </si>
  <si>
    <t>Kittitas</t>
  </si>
  <si>
    <t>Palisades</t>
  </si>
  <si>
    <t>USBR Large Loads</t>
  </si>
  <si>
    <t>USBR Small Loads Estimate</t>
  </si>
  <si>
    <t>Calc'd GCPD_SYST_LOAD MMAX</t>
  </si>
  <si>
    <t>Calc'd GCPD_SYST_LOAD MMAX TIME</t>
  </si>
  <si>
    <t>07 08</t>
  </si>
  <si>
    <t>BA Load</t>
  </si>
  <si>
    <t>(j)</t>
  </si>
  <si>
    <t>(k)</t>
  </si>
  <si>
    <t>(l)</t>
  </si>
  <si>
    <t>(m)</t>
  </si>
  <si>
    <t>Exhibit VII</t>
  </si>
  <si>
    <t>Exhibit VIII</t>
  </si>
  <si>
    <t>Line 24 + Line 41</t>
  </si>
  <si>
    <t>1001-450000 Elect Revenue-Penalty For Late Payment</t>
  </si>
  <si>
    <t>1001-451000 Elect Revenue-Misc Service Revenue</t>
  </si>
  <si>
    <t>1001-454000 Elect Revenue-Rents Elec Property</t>
  </si>
  <si>
    <t>1001-454010 Elect Revenue-Pole Rentals Elec Property</t>
  </si>
  <si>
    <t>1001-456000 Elect Revenue-Other Electric Revenues</t>
  </si>
  <si>
    <t>Forfeited Discounts</t>
  </si>
  <si>
    <t>Miscellaneous Service Revenues</t>
  </si>
  <si>
    <t>Rent from Electric Property</t>
  </si>
  <si>
    <t>Total Other Revenues</t>
  </si>
  <si>
    <t>Related to retail service.</t>
  </si>
  <si>
    <t>Rental income for distribution pole attachments.</t>
  </si>
  <si>
    <t>Other Revenues: (Note A)</t>
  </si>
  <si>
    <t>Other Electric Revenues</t>
  </si>
  <si>
    <t>Wheeling Revenues: (Note B)</t>
  </si>
  <si>
    <t>Puget Sound Energy</t>
  </si>
  <si>
    <t>Vantage Energy</t>
  </si>
  <si>
    <t>Total Wheeling Revenues</t>
  </si>
  <si>
    <t>Facilities with DSO</t>
  </si>
  <si>
    <t>Other Revenues (Accounts 450, 451, 454)</t>
  </si>
  <si>
    <t>100% Transmission Plant Related</t>
  </si>
  <si>
    <t>Total Other Revenues  (Accounts 450, 451, 454)</t>
  </si>
  <si>
    <t>Wheeling Revenues Not Accounted for in Rate Divisor</t>
  </si>
  <si>
    <t>Net Transmission Revenue Requirement</t>
  </si>
  <si>
    <t>Line 42 + Line 49</t>
  </si>
  <si>
    <t>Sum of Lines 43-46</t>
  </si>
  <si>
    <t>Appendix B</t>
  </si>
  <si>
    <t>Units</t>
  </si>
  <si>
    <t>Source / Comment</t>
  </si>
  <si>
    <t>Annual Revenue Requirement:</t>
  </si>
  <si>
    <t>($)</t>
  </si>
  <si>
    <t>Rate Divisor:</t>
  </si>
  <si>
    <t>MW</t>
  </si>
  <si>
    <t>Yearly</t>
  </si>
  <si>
    <t>$/kW-yr</t>
  </si>
  <si>
    <t xml:space="preserve">Monthly </t>
  </si>
  <si>
    <t>$/kW-mo.</t>
  </si>
  <si>
    <t>Weekly</t>
  </si>
  <si>
    <t>$/kW-wk.</t>
  </si>
  <si>
    <t>Daily</t>
  </si>
  <si>
    <t>$/kW-day</t>
  </si>
  <si>
    <t>Transmission Rates</t>
  </si>
  <si>
    <t>Revenue Requirements &amp; Rates</t>
  </si>
  <si>
    <t>Revenue Requirement</t>
  </si>
  <si>
    <t>115kV - 230kV</t>
  </si>
  <si>
    <t>Description</t>
  </si>
  <si>
    <t xml:space="preserve">General </t>
  </si>
  <si>
    <t>Distribution</t>
  </si>
  <si>
    <t>(Less) Property Insurance (Account 924) Included in Total A&amp;G</t>
  </si>
  <si>
    <t>(Less) Transmission of Electricity by Others (Account 565)</t>
  </si>
  <si>
    <t>Sum of Lines 1-5</t>
  </si>
  <si>
    <t>Sum of Lines 7-11</t>
  </si>
  <si>
    <t>Sum of Lines 13-17</t>
  </si>
  <si>
    <t>Line 18 + Sum of Lines 19-21</t>
  </si>
  <si>
    <t>Sum of Lines 1-4</t>
  </si>
  <si>
    <t>Line 6 + Line 7 + Line 8</t>
  </si>
  <si>
    <t>D</t>
  </si>
  <si>
    <t>Line 1 - Line 2 - Line 3</t>
  </si>
  <si>
    <t>Line 6 - Line 7</t>
  </si>
  <si>
    <t>Sub 115kV</t>
  </si>
  <si>
    <t>W/S-T</t>
  </si>
  <si>
    <t>DP</t>
  </si>
  <si>
    <t>W/S-D</t>
  </si>
  <si>
    <t>T/D Allocation</t>
  </si>
  <si>
    <t>T Allocator</t>
  </si>
  <si>
    <t>DE</t>
  </si>
  <si>
    <t>GTP=</t>
  </si>
  <si>
    <t>GDP</t>
  </si>
  <si>
    <t>GDP=</t>
  </si>
  <si>
    <t>W&amp;S-(T/D) Allocators</t>
  </si>
  <si>
    <t>D Allocator</t>
  </si>
  <si>
    <t>DISTRIBUTION PLANT INCLUDED IN RATES:</t>
  </si>
  <si>
    <t>DISTRIBUTION EXPENSES:</t>
  </si>
  <si>
    <t>Total Distribution Gross Plant</t>
  </si>
  <si>
    <t>Less distribution plant excluded from rates</t>
  </si>
  <si>
    <t>Less distribution plant included in Ancillary Services</t>
  </si>
  <si>
    <t xml:space="preserve">Total distribution expenses  </t>
  </si>
  <si>
    <t xml:space="preserve">Less distribution Expenses Included in Ancillary Services </t>
  </si>
  <si>
    <t>Included distribution expenses ( line 6 less line 7)</t>
  </si>
  <si>
    <t xml:space="preserve">Percentage of Distribution Expenses After Adjustment </t>
  </si>
  <si>
    <t xml:space="preserve">Percentage of Distribution Plant Included in Rates </t>
  </si>
  <si>
    <t xml:space="preserve">Percentage of Distribution Expenses Included in Rates  </t>
  </si>
  <si>
    <t>DE=</t>
  </si>
  <si>
    <t>Percentage of Gross Distribution Plant Included in Rates</t>
  </si>
  <si>
    <t>DP=</t>
  </si>
  <si>
    <t>NDP=</t>
  </si>
  <si>
    <t>NTP=</t>
  </si>
  <si>
    <t>NDP</t>
  </si>
  <si>
    <t>NTP</t>
  </si>
  <si>
    <t>Distribution O&amp;M</t>
  </si>
  <si>
    <t>Gross Revenue Requirement</t>
  </si>
  <si>
    <t>Distribution O&amp;M Expenses:</t>
  </si>
  <si>
    <t>GTP</t>
  </si>
  <si>
    <t>1001-580000 Elect Revenue-D/Opers Supv &amp; Eng</t>
  </si>
  <si>
    <t>1001-581010 Elect Revenue-D/Opers Load Dispatching</t>
  </si>
  <si>
    <t>1001-582000 Elect Revenue-D/Opers Station Expense</t>
  </si>
  <si>
    <t>1001-583000 Elect Revenue-D/Opers OH Lines</t>
  </si>
  <si>
    <t>1001-584010 Elect Revenue-D/Opers Undergrd Prim &amp; S</t>
  </si>
  <si>
    <t>1001-586010 Elect Revenue-D/Opers Meter Install Exp</t>
  </si>
  <si>
    <t>1001-587000 Elect Revenue-D/Opers Cust Install Exp</t>
  </si>
  <si>
    <t>1001-588000 Elect Revenue-D/Opers Misc Gen Exp</t>
  </si>
  <si>
    <t>1001-588030 Elect Revenue-D/Opers Misc EDP</t>
  </si>
  <si>
    <t>1001-590000 Elect Revenue-D/Maint Supv &amp; Eng</t>
  </si>
  <si>
    <t>1001-592000 Elect Revenue-D/Maint Station Equipmt</t>
  </si>
  <si>
    <t>1001-593010 Elect Revenue-D/Maint OH Line Gen</t>
  </si>
  <si>
    <t>1001-594010 Elect Revenue-D/Maint UG Prim &amp; Sec</t>
  </si>
  <si>
    <t>1001-596010 Elect Revenue-D/Maint OH Street Lighting</t>
  </si>
  <si>
    <t>1001-597000 Elect Revenue-D/Maint Meters</t>
  </si>
  <si>
    <t>580 Operation supervision and engineering.</t>
  </si>
  <si>
    <t>586 Meter expenses.</t>
  </si>
  <si>
    <t>587 Customer installations expenses.</t>
  </si>
  <si>
    <t>588 Miscellaneous distribution expenses.</t>
  </si>
  <si>
    <t>581 Load dispatching</t>
  </si>
  <si>
    <t>582 Station expenses</t>
  </si>
  <si>
    <t>583 Overhead line expenses</t>
  </si>
  <si>
    <t>584 Underground line expenses</t>
  </si>
  <si>
    <t>596 Maintenance of street lighting and signal systems.</t>
  </si>
  <si>
    <t>597 Maintenance of meters.</t>
  </si>
  <si>
    <t>590 Maintenance supervision and engineering</t>
  </si>
  <si>
    <t>592 Maintenance of station equipment</t>
  </si>
  <si>
    <t>593 Maintenance of overhead lines</t>
  </si>
  <si>
    <t>594 Maintenance of underground lines</t>
  </si>
  <si>
    <t>All T</t>
  </si>
  <si>
    <t>Wholesale</t>
  </si>
  <si>
    <t>Net</t>
  </si>
  <si>
    <t>100% Distribution Plant Related</t>
  </si>
  <si>
    <t>All D</t>
  </si>
  <si>
    <t>Wholesale service allocations are determined by GCPUD Management</t>
  </si>
  <si>
    <t>Wholesale Services</t>
  </si>
  <si>
    <t>Existing Transmission System Network Load</t>
  </si>
  <si>
    <t>Firm Point to Point Load</t>
  </si>
  <si>
    <t>(n)</t>
  </si>
  <si>
    <t>(o)</t>
  </si>
  <si>
    <t>Total System Load</t>
  </si>
  <si>
    <t>Adjusted System Load</t>
  </si>
  <si>
    <t>(p)</t>
  </si>
  <si>
    <t>(e)+(f)+(g)+(h)+(i)+(j)</t>
  </si>
  <si>
    <t>(l)-(m)</t>
  </si>
  <si>
    <t>(c)+(l)</t>
  </si>
  <si>
    <t>Total System Load Plus Point to Point</t>
  </si>
  <si>
    <t>Sub 115kV System Load</t>
  </si>
  <si>
    <t>Sub 115kV System Load plus Firm Point to Point</t>
  </si>
  <si>
    <t>(q)</t>
  </si>
  <si>
    <t>Total Plant</t>
  </si>
  <si>
    <t>All WS</t>
  </si>
  <si>
    <t>WHOLESALE DISTRIBUTUION PLANT:</t>
  </si>
  <si>
    <t>Accounts 360-364</t>
  </si>
  <si>
    <t>Accounts 360-364 plus Accounts 368-373</t>
  </si>
  <si>
    <t>Wholesale Distribution Plant Allocator</t>
  </si>
  <si>
    <t>WSDP =</t>
  </si>
  <si>
    <t>WSDP</t>
  </si>
  <si>
    <t>Hourly</t>
  </si>
  <si>
    <t>$/kWh</t>
  </si>
  <si>
    <t>Tacoma Power</t>
  </si>
  <si>
    <t>Revenue</t>
  </si>
  <si>
    <t>301</t>
  </si>
  <si>
    <t>302</t>
  </si>
  <si>
    <t>303</t>
  </si>
  <si>
    <t>330</t>
  </si>
  <si>
    <t>331</t>
  </si>
  <si>
    <t>332</t>
  </si>
  <si>
    <t>333</t>
  </si>
  <si>
    <t>334</t>
  </si>
  <si>
    <t>335</t>
  </si>
  <si>
    <t>336</t>
  </si>
  <si>
    <t>346</t>
  </si>
  <si>
    <t>350</t>
  </si>
  <si>
    <t>352</t>
  </si>
  <si>
    <t>353</t>
  </si>
  <si>
    <t>354</t>
  </si>
  <si>
    <t>355</t>
  </si>
  <si>
    <t>356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</si>
  <si>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</si>
  <si>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</si>
  <si>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</si>
  <si>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</si>
  <si>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</si>
  <si>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</si>
  <si>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</si>
  <si>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</si>
  <si>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</si>
  <si>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</si>
  <si>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</si>
  <si>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373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</si>
  <si>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</si>
  <si>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</si>
  <si>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</si>
  <si>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</si>
  <si>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</si>
  <si>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</si>
  <si>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</si>
  <si>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</si>
  <si>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</si>
  <si>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</si>
  <si>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Line 3 ÷ 12 months</t>
  </si>
  <si>
    <t>Line 5 ÷ 7 days</t>
  </si>
  <si>
    <t>Line 3 ÷ 52 weeks</t>
  </si>
  <si>
    <t>Line 3 ÷ 8,760 hours</t>
  </si>
  <si>
    <t>Line 1 ÷ (Line 2 *1000)</t>
  </si>
  <si>
    <t>Amount</t>
  </si>
  <si>
    <t>Account</t>
  </si>
  <si>
    <t>Less distribution plant included in transmission accounts</t>
  </si>
  <si>
    <t>Plus distributuion plant included in transmission accounts</t>
  </si>
  <si>
    <t>Exh II - Plant Data</t>
  </si>
  <si>
    <t>W/S-T =</t>
  </si>
  <si>
    <t>W/S-D =</t>
  </si>
  <si>
    <t>WS Allocator</t>
  </si>
  <si>
    <t>NA</t>
  </si>
  <si>
    <t>Production</t>
  </si>
  <si>
    <t>Other - Non General</t>
  </si>
  <si>
    <t xml:space="preserve">Source: </t>
  </si>
  <si>
    <t xml:space="preserve">Excel spreadsheet "2017 2016 financials.xlsx". </t>
  </si>
  <si>
    <t>Source:</t>
  </si>
  <si>
    <t>Loads reflect NCP billing determinants</t>
  </si>
  <si>
    <t xml:space="preserve">Excel spreadsheet "Data Submittal for GDS COS 2.2.xlsx". </t>
  </si>
  <si>
    <t>Account Totals</t>
  </si>
  <si>
    <t>115/230 Only Load During Peak</t>
  </si>
  <si>
    <t>(n) + (o)</t>
  </si>
  <si>
    <t>Sum of (e)-(i)</t>
  </si>
  <si>
    <t>Seattle City Light</t>
  </si>
  <si>
    <t xml:space="preserve">Source: Excel spreadsheet "Data Submittal for GDS COS 2.2.xlsx". </t>
  </si>
  <si>
    <t>Draft of June 19, 2019</t>
  </si>
  <si>
    <t>Exchange/PTP-LTF</t>
  </si>
  <si>
    <t>(Note C)</t>
  </si>
  <si>
    <t>Prepayments related to insurance has been allocated based on 99.2823% to production and 0.7177% to transmission.</t>
  </si>
  <si>
    <t>DA</t>
  </si>
  <si>
    <t>Network Wholesale Service Wheeling Rates  (Note A):</t>
  </si>
  <si>
    <t>Network Wholesale Service Wheeling Rates include scheduling and dispatch service.</t>
  </si>
  <si>
    <t>(Note D)</t>
  </si>
  <si>
    <t>Source: Excel Spreadsheet "2017 and 2018 LABOR"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</si>
</sst>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"/>
    <numFmt numFmtId="166" formatCode="0.00000"/>
    <numFmt numFmtId="167" formatCode="0.0%"/>
    <numFmt numFmtId="168" formatCode="_(* #,##0.0_);_(* \(#,##0.0\);_(* &quot;-&quot;??_);_(@_)"/>
    <numFmt numFmtId="169" formatCode="#,##0.000_);\(#,##0.000\)"/>
    <numFmt numFmtId="170" formatCode="_(&quot;$&quot;* #,##0_);_(&quot;$&quot;* \(#,##0\);_(&quot;$&quot;* &quot;-&quot;??_);_(@_)"/>
    <numFmt numFmtId="171" formatCode="_(&quot;$&quot;* #,##0.00000_);_(&quot;$&quot;* \(#,##0.000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ZapfCalligr BT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41" fontId="3" fillId="0" borderId="0" xfId="0" applyNumberFormat="1" applyFont="1"/>
    <xf numFmtId="41" fontId="3" fillId="0" borderId="0" xfId="0" applyNumberFormat="1" applyFont="1" applyBorder="1"/>
    <xf numFmtId="0" fontId="2" fillId="0" borderId="0" xfId="0" applyFont="1" applyAlignment="1">
      <alignment horizontal="left" indent="2"/>
    </xf>
    <xf numFmtId="41" fontId="3" fillId="0" borderId="0" xfId="0" applyNumberFormat="1" applyFont="1" applyFill="1"/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41" fontId="3" fillId="0" borderId="3" xfId="0" applyNumberFormat="1" applyFont="1" applyBorder="1"/>
    <xf numFmtId="41" fontId="3" fillId="0" borderId="0" xfId="0" applyNumberFormat="1" applyFont="1" applyFill="1" applyBorder="1"/>
    <xf numFmtId="41" fontId="3" fillId="0" borderId="3" xfId="0" applyNumberFormat="1" applyFont="1" applyFill="1" applyBorder="1"/>
    <xf numFmtId="10" fontId="3" fillId="0" borderId="0" xfId="0" applyNumberFormat="1" applyFont="1" applyFill="1"/>
    <xf numFmtId="10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Alignment="1">
      <alignment horizontal="left" indent="1"/>
    </xf>
    <xf numFmtId="41" fontId="2" fillId="0" borderId="0" xfId="0" applyNumberFormat="1" applyFont="1" applyFill="1" applyBorder="1"/>
    <xf numFmtId="0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/>
    <xf numFmtId="0" fontId="5" fillId="0" borderId="0" xfId="0" applyFont="1" applyAlignment="1" applyProtection="1">
      <protection locked="0"/>
    </xf>
    <xf numFmtId="3" fontId="5" fillId="3" borderId="0" xfId="0" applyNumberFormat="1" applyFont="1" applyFill="1" applyAlignment="1" applyProtection="1">
      <protection locked="0"/>
    </xf>
    <xf numFmtId="3" fontId="5" fillId="0" borderId="0" xfId="0" applyNumberFormat="1" applyFont="1" applyBorder="1" applyAlignment="1" applyProtection="1">
      <protection locked="0"/>
    </xf>
    <xf numFmtId="3" fontId="5" fillId="3" borderId="2" xfId="0" applyNumberFormat="1" applyFont="1" applyFill="1" applyBorder="1" applyAlignment="1" applyProtection="1">
      <protection locked="0"/>
    </xf>
    <xf numFmtId="49" fontId="5" fillId="0" borderId="0" xfId="0" applyNumberFormat="1" applyFont="1" applyAlignment="1" applyProtection="1">
      <protection locked="0"/>
    </xf>
    <xf numFmtId="165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protection locked="0"/>
    </xf>
    <xf numFmtId="165" fontId="5" fillId="0" borderId="0" xfId="0" applyNumberFormat="1" applyFont="1" applyAlignment="1" applyProtection="1"/>
    <xf numFmtId="165" fontId="5" fillId="0" borderId="0" xfId="0" applyNumberFormat="1" applyFont="1" applyProtection="1"/>
    <xf numFmtId="166" fontId="5" fillId="0" borderId="0" xfId="0" applyNumberFormat="1" applyFont="1" applyProtection="1"/>
    <xf numFmtId="3" fontId="5" fillId="0" borderId="2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7" fillId="0" borderId="0" xfId="1" applyNumberFormat="1" applyFont="1"/>
    <xf numFmtId="164" fontId="7" fillId="0" borderId="3" xfId="1" applyNumberFormat="1" applyFont="1" applyBorder="1"/>
    <xf numFmtId="0" fontId="8" fillId="0" borderId="0" xfId="0" applyFont="1" applyAlignment="1">
      <alignment horizontal="left" indent="1"/>
    </xf>
    <xf numFmtId="164" fontId="7" fillId="4" borderId="0" xfId="1" applyNumberFormat="1" applyFont="1" applyFill="1"/>
    <xf numFmtId="0" fontId="7" fillId="0" borderId="0" xfId="0" applyFont="1" applyAlignment="1">
      <alignment horizontal="center"/>
    </xf>
    <xf numFmtId="3" fontId="5" fillId="4" borderId="0" xfId="0" applyNumberFormat="1" applyFont="1" applyFill="1" applyAlignment="1" applyProtection="1">
      <protection locked="0"/>
    </xf>
    <xf numFmtId="0" fontId="2" fillId="4" borderId="0" xfId="0" applyFont="1" applyFill="1"/>
    <xf numFmtId="0" fontId="3" fillId="4" borderId="0" xfId="0" applyFont="1" applyFill="1"/>
    <xf numFmtId="164" fontId="7" fillId="0" borderId="3" xfId="1" applyNumberFormat="1" applyFont="1" applyFill="1" applyBorder="1"/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/>
    <xf numFmtId="10" fontId="3" fillId="4" borderId="0" xfId="2" applyNumberFormat="1" applyFont="1" applyFill="1"/>
    <xf numFmtId="0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49" fontId="5" fillId="0" borderId="0" xfId="0" applyNumberFormat="1" applyFont="1" applyBorder="1" applyProtection="1">
      <protection locked="0"/>
    </xf>
    <xf numFmtId="0" fontId="5" fillId="0" borderId="0" xfId="0" applyNumberFormat="1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6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left" indent="2"/>
      <protection locked="0"/>
    </xf>
    <xf numFmtId="41" fontId="3" fillId="0" borderId="0" xfId="0" quotePrefix="1" applyNumberFormat="1" applyFont="1" applyFill="1"/>
    <xf numFmtId="10" fontId="5" fillId="0" borderId="0" xfId="2" applyNumberFormat="1" applyFont="1" applyAlignment="1" applyProtection="1">
      <alignment horizontal="right"/>
    </xf>
    <xf numFmtId="10" fontId="5" fillId="0" borderId="0" xfId="2" applyNumberFormat="1" applyFont="1" applyAlignment="1" applyProtection="1"/>
    <xf numFmtId="10" fontId="3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167" fontId="7" fillId="0" borderId="3" xfId="0" applyNumberFormat="1" applyFont="1" applyBorder="1"/>
    <xf numFmtId="10" fontId="7" fillId="0" borderId="3" xfId="0" applyNumberFormat="1" applyFont="1" applyBorder="1"/>
    <xf numFmtId="0" fontId="7" fillId="0" borderId="0" xfId="0" applyFont="1" applyAlignment="1">
      <alignment horizontal="left"/>
    </xf>
    <xf numFmtId="164" fontId="7" fillId="4" borderId="0" xfId="1" applyNumberFormat="1" applyFont="1" applyFill="1" applyBorder="1"/>
    <xf numFmtId="164" fontId="7" fillId="0" borderId="0" xfId="1" applyNumberFormat="1" applyFont="1" applyBorder="1"/>
    <xf numFmtId="41" fontId="2" fillId="0" borderId="0" xfId="0" applyNumberFormat="1" applyFont="1" applyBorder="1"/>
    <xf numFmtId="10" fontId="2" fillId="0" borderId="0" xfId="2" applyNumberFormat="1" applyFont="1"/>
    <xf numFmtId="10" fontId="3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>
      <alignment horizontal="left" indent="2"/>
    </xf>
    <xf numFmtId="0" fontId="7" fillId="0" borderId="0" xfId="0" quotePrefix="1" applyFont="1" applyAlignment="1">
      <alignment horizontal="center"/>
    </xf>
    <xf numFmtId="0" fontId="2" fillId="0" borderId="0" xfId="0" applyFont="1" applyFill="1" applyAlignment="1"/>
    <xf numFmtId="0" fontId="8" fillId="0" borderId="2" xfId="0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1" xfId="0" applyFont="1" applyFill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168" fontId="7" fillId="0" borderId="3" xfId="0" applyNumberFormat="1" applyFont="1" applyBorder="1"/>
    <xf numFmtId="168" fontId="7" fillId="0" borderId="3" xfId="1" applyNumberFormat="1" applyFont="1" applyBorder="1"/>
    <xf numFmtId="168" fontId="7" fillId="0" borderId="0" xfId="1" applyNumberFormat="1" applyFont="1"/>
    <xf numFmtId="0" fontId="7" fillId="4" borderId="0" xfId="0" applyFont="1" applyFill="1"/>
    <xf numFmtId="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/>
    </xf>
    <xf numFmtId="10" fontId="3" fillId="0" borderId="0" xfId="2" applyNumberFormat="1" applyFont="1" applyFill="1"/>
    <xf numFmtId="167" fontId="7" fillId="4" borderId="0" xfId="2" applyNumberFormat="1" applyFont="1" applyFill="1"/>
    <xf numFmtId="10" fontId="7" fillId="4" borderId="0" xfId="2" applyNumberFormat="1" applyFont="1" applyFill="1" applyAlignment="1">
      <alignment horizontal="right"/>
    </xf>
    <xf numFmtId="0" fontId="5" fillId="0" borderId="0" xfId="3" applyFont="1" applyFill="1" applyAlignment="1" applyProtection="1">
      <alignment horizontal="centerContinuous"/>
    </xf>
    <xf numFmtId="0" fontId="10" fillId="0" borderId="0" xfId="0" applyFont="1" applyBorder="1"/>
    <xf numFmtId="0" fontId="5" fillId="0" borderId="0" xfId="3" applyFont="1" applyFill="1" applyProtection="1"/>
    <xf numFmtId="0" fontId="5" fillId="0" borderId="0" xfId="3" applyFont="1" applyFill="1"/>
    <xf numFmtId="0" fontId="6" fillId="0" borderId="0" xfId="3" applyFont="1" applyFill="1" applyAlignment="1" applyProtection="1">
      <alignment horizontal="centerContinuous"/>
    </xf>
    <xf numFmtId="0" fontId="6" fillId="0" borderId="4" xfId="3" applyFont="1" applyFill="1" applyBorder="1" applyAlignment="1" applyProtection="1">
      <alignment horizontal="centerContinuous"/>
    </xf>
    <xf numFmtId="0" fontId="6" fillId="0" borderId="0" xfId="3" applyFont="1" applyFill="1" applyAlignment="1" applyProtection="1">
      <alignment horizontal="center"/>
    </xf>
    <xf numFmtId="0" fontId="6" fillId="0" borderId="5" xfId="3" applyFont="1" applyFill="1" applyBorder="1" applyAlignment="1" applyProtection="1">
      <alignment horizontal="center"/>
    </xf>
    <xf numFmtId="0" fontId="5" fillId="0" borderId="5" xfId="3" applyFont="1" applyFill="1" applyBorder="1" applyProtection="1"/>
    <xf numFmtId="0" fontId="6" fillId="0" borderId="0" xfId="3" quotePrefix="1" applyFont="1" applyFill="1" applyAlignment="1" applyProtection="1">
      <alignment horizontal="center"/>
    </xf>
    <xf numFmtId="0" fontId="6" fillId="0" borderId="0" xfId="3" applyFont="1" applyFill="1" applyAlignment="1" applyProtection="1">
      <alignment horizontal="left" wrapText="1"/>
    </xf>
    <xf numFmtId="0" fontId="5" fillId="0" borderId="0" xfId="3" applyFont="1" applyFill="1" applyAlignment="1" applyProtection="1">
      <alignment horizontal="left" indent="1"/>
    </xf>
    <xf numFmtId="49" fontId="5" fillId="0" borderId="0" xfId="3" applyNumberFormat="1" applyFont="1" applyFill="1" applyAlignment="1" applyProtection="1">
      <alignment horizontal="center"/>
    </xf>
    <xf numFmtId="164" fontId="5" fillId="0" borderId="0" xfId="4" applyNumberFormat="1" applyFont="1" applyFill="1" applyProtection="1"/>
    <xf numFmtId="0" fontId="6" fillId="0" borderId="0" xfId="3" applyFont="1" applyFill="1" applyProtection="1"/>
    <xf numFmtId="49" fontId="5" fillId="0" borderId="0" xfId="3" applyNumberFormat="1" applyFont="1" applyFill="1" applyProtection="1"/>
    <xf numFmtId="49" fontId="5" fillId="0" borderId="0" xfId="3" quotePrefix="1" applyNumberFormat="1" applyFont="1" applyFill="1" applyAlignment="1" applyProtection="1">
      <alignment horizontal="center"/>
    </xf>
    <xf numFmtId="49" fontId="5" fillId="0" borderId="0" xfId="3" quotePrefix="1" applyNumberFormat="1" applyFont="1" applyFill="1" applyProtection="1"/>
    <xf numFmtId="169" fontId="5" fillId="0" borderId="0" xfId="3" applyNumberFormat="1" applyFont="1" applyFill="1" applyProtection="1"/>
    <xf numFmtId="0" fontId="4" fillId="0" borderId="0" xfId="3" applyFont="1" applyFill="1" applyAlignment="1" applyProtection="1">
      <alignment horizontal="centerContinuous"/>
    </xf>
    <xf numFmtId="41" fontId="2" fillId="0" borderId="6" xfId="0" applyNumberFormat="1" applyFont="1" applyFill="1" applyBorder="1"/>
    <xf numFmtId="0" fontId="8" fillId="0" borderId="0" xfId="0" applyFont="1" applyAlignment="1"/>
    <xf numFmtId="0" fontId="7" fillId="0" borderId="1" xfId="0" applyFont="1" applyFill="1" applyBorder="1" applyAlignment="1">
      <alignment horizontal="centerContinuous"/>
    </xf>
    <xf numFmtId="0" fontId="7" fillId="0" borderId="0" xfId="0" applyFont="1" applyFill="1"/>
    <xf numFmtId="168" fontId="7" fillId="4" borderId="0" xfId="1" applyNumberFormat="1" applyFont="1" applyFill="1" applyAlignment="1">
      <alignment horizontal="left"/>
    </xf>
    <xf numFmtId="0" fontId="7" fillId="4" borderId="0" xfId="0" applyFont="1" applyFill="1" applyAlignment="1">
      <alignment horizontal="center"/>
    </xf>
    <xf numFmtId="168" fontId="7" fillId="4" borderId="0" xfId="1" applyNumberFormat="1" applyFont="1" applyFill="1"/>
    <xf numFmtId="0" fontId="6" fillId="4" borderId="1" xfId="0" applyNumberFormat="1" applyFont="1" applyFill="1" applyBorder="1" applyAlignment="1" applyProtection="1">
      <alignment horizontal="centerContinuous"/>
      <protection locked="0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8" fillId="0" borderId="0" xfId="1" applyNumberFormat="1" applyFont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/>
    <xf numFmtId="9" fontId="7" fillId="0" borderId="0" xfId="2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Border="1"/>
    <xf numFmtId="0" fontId="8" fillId="0" borderId="0" xfId="0" applyFont="1" applyFill="1"/>
    <xf numFmtId="168" fontId="7" fillId="0" borderId="0" xfId="1" applyNumberFormat="1" applyFont="1" applyFill="1"/>
    <xf numFmtId="43" fontId="7" fillId="0" borderId="0" xfId="0" applyNumberFormat="1" applyFont="1"/>
    <xf numFmtId="43" fontId="7" fillId="0" borderId="1" xfId="0" applyNumberFormat="1" applyFont="1" applyBorder="1"/>
    <xf numFmtId="43" fontId="7" fillId="0" borderId="0" xfId="0" applyNumberFormat="1" applyFont="1" applyBorder="1"/>
    <xf numFmtId="164" fontId="5" fillId="0" borderId="0" xfId="1" applyNumberFormat="1" applyFont="1" applyFill="1" applyProtection="1"/>
    <xf numFmtId="0" fontId="7" fillId="0" borderId="3" xfId="1" applyNumberFormat="1" applyFont="1" applyBorder="1"/>
    <xf numFmtId="9" fontId="7" fillId="4" borderId="0" xfId="2" applyFont="1" applyFill="1" applyAlignment="1">
      <alignment horizontal="center"/>
    </xf>
    <xf numFmtId="164" fontId="5" fillId="4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center"/>
    </xf>
    <xf numFmtId="164" fontId="7" fillId="0" borderId="0" xfId="1" applyNumberFormat="1" applyFont="1" applyAlignment="1"/>
    <xf numFmtId="3" fontId="5" fillId="3" borderId="1" xfId="0" applyNumberFormat="1" applyFont="1" applyFill="1" applyBorder="1" applyAlignment="1" applyProtection="1">
      <protection locked="0"/>
    </xf>
    <xf numFmtId="0" fontId="5" fillId="0" borderId="1" xfId="0" applyNumberFormat="1" applyFont="1" applyBorder="1" applyAlignment="1" applyProtection="1">
      <alignment horizontal="left" indent="1"/>
      <protection locked="0"/>
    </xf>
    <xf numFmtId="3" fontId="5" fillId="4" borderId="1" xfId="0" applyNumberFormat="1" applyFont="1" applyFill="1" applyBorder="1" applyAlignment="1" applyProtection="1">
      <protection locked="0"/>
    </xf>
    <xf numFmtId="10" fontId="7" fillId="0" borderId="0" xfId="2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4" fontId="5" fillId="0" borderId="0" xfId="5" applyFont="1" applyFill="1" applyProtection="1"/>
    <xf numFmtId="171" fontId="5" fillId="0" borderId="0" xfId="5" applyNumberFormat="1" applyFont="1" applyFill="1" applyProtection="1"/>
    <xf numFmtId="44" fontId="5" fillId="0" borderId="0" xfId="5" applyNumberFormat="1" applyFont="1" applyFill="1" applyProtection="1"/>
    <xf numFmtId="0" fontId="12" fillId="0" borderId="0" xfId="0" applyFont="1"/>
    <xf numFmtId="0" fontId="12" fillId="0" borderId="0" xfId="0" applyFont="1" applyAlignment="1">
      <alignment horizontal="center"/>
    </xf>
    <xf numFmtId="170" fontId="7" fillId="0" borderId="0" xfId="5" applyNumberFormat="1" applyFont="1"/>
    <xf numFmtId="0" fontId="7" fillId="0" borderId="3" xfId="0" applyFont="1" applyBorder="1"/>
    <xf numFmtId="170" fontId="7" fillId="0" borderId="3" xfId="5" applyNumberFormat="1" applyFont="1" applyBorder="1"/>
    <xf numFmtId="3" fontId="5" fillId="0" borderId="0" xfId="0" quotePrefix="1" applyNumberFormat="1" applyFont="1" applyAlignment="1" applyProtection="1">
      <protection locked="0"/>
    </xf>
    <xf numFmtId="3" fontId="5" fillId="0" borderId="0" xfId="0" applyNumberFormat="1" applyFont="1" applyFill="1" applyAlignment="1" applyProtection="1">
      <protection locked="0"/>
    </xf>
    <xf numFmtId="3" fontId="5" fillId="0" borderId="0" xfId="0" applyNumberFormat="1" applyFont="1" applyFill="1" applyAlignment="1" applyProtection="1"/>
    <xf numFmtId="170" fontId="5" fillId="0" borderId="0" xfId="5" applyNumberFormat="1" applyFont="1" applyAlignment="1" applyProtection="1"/>
    <xf numFmtId="3" fontId="6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1" fontId="3" fillId="0" borderId="0" xfId="0" applyNumberFormat="1" applyFont="1" applyBorder="1" applyAlignment="1">
      <alignment horizontal="left"/>
    </xf>
    <xf numFmtId="164" fontId="5" fillId="0" borderId="0" xfId="1" applyNumberFormat="1" applyFont="1" applyAlignment="1" applyProtection="1"/>
    <xf numFmtId="164" fontId="5" fillId="0" borderId="2" xfId="1" applyNumberFormat="1" applyFont="1" applyBorder="1" applyAlignment="1" applyProtection="1"/>
    <xf numFmtId="9" fontId="5" fillId="0" borderId="0" xfId="2" applyFont="1" applyFill="1" applyAlignment="1" applyProtection="1">
      <protection locked="0"/>
    </xf>
    <xf numFmtId="4" fontId="5" fillId="4" borderId="0" xfId="0" applyNumberFormat="1" applyFont="1" applyFill="1" applyAlignment="1" applyProtection="1"/>
    <xf numFmtId="4" fontId="5" fillId="4" borderId="0" xfId="0" applyNumberFormat="1" applyFont="1" applyFill="1" applyAlignment="1" applyProtection="1">
      <protection locked="0"/>
    </xf>
    <xf numFmtId="43" fontId="7" fillId="0" borderId="0" xfId="1" applyNumberFormat="1" applyFont="1"/>
    <xf numFmtId="10" fontId="7" fillId="0" borderId="0" xfId="0" applyNumberFormat="1" applyFont="1"/>
    <xf numFmtId="41" fontId="3" fillId="4" borderId="0" xfId="0" applyNumberFormat="1" applyFont="1" applyFill="1"/>
    <xf numFmtId="164" fontId="3" fillId="0" borderId="0" xfId="1" applyNumberFormat="1" applyFont="1"/>
    <xf numFmtId="164" fontId="3" fillId="0" borderId="0" xfId="1" quotePrefix="1" applyNumberFormat="1" applyFont="1" applyFill="1"/>
    <xf numFmtId="164" fontId="3" fillId="0" borderId="0" xfId="1" applyNumberFormat="1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6">
    <cellStyle name="Comma" xfId="1" builtinId="3"/>
    <cellStyle name="Comma 2" xfId="4"/>
    <cellStyle name="Currency" xfId="5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FF99"/>
      <color rgb="FFFFFF66"/>
      <color rgb="FF00FFCC"/>
      <color rgb="FF66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6"/>
  <sheetViews>
    <sheetView showGridLines="0" tabSelected="1" topLeftCell="A7" zoomScaleNormal="100" workbookViewId="0">
      <selection activeCell="C31" sqref="C31"/>
    </sheetView>
  </sheetViews>
  <sheetFormatPr defaultColWidth="12.54296875" defaultRowHeight="14"/>
  <cols>
    <col min="1" max="1" width="5.6328125" style="113" bestFit="1" customWidth="1"/>
    <col min="2" max="2" width="2.36328125" style="113" customWidth="1"/>
    <col min="3" max="3" width="46.90625" style="113" bestFit="1" customWidth="1"/>
    <col min="4" max="4" width="2.36328125" style="113" customWidth="1"/>
    <col min="5" max="5" width="9.453125" style="113" bestFit="1" customWidth="1"/>
    <col min="6" max="6" width="2.36328125" style="113" customWidth="1"/>
    <col min="7" max="7" width="15.6328125" style="113" customWidth="1"/>
    <col min="8" max="8" width="1.6328125" style="113" customWidth="1"/>
    <col min="9" max="9" width="15.6328125" style="113" customWidth="1"/>
    <col min="10" max="10" width="2.36328125" style="113" customWidth="1"/>
    <col min="11" max="11" width="27.08984375" style="113" bestFit="1" customWidth="1"/>
    <col min="12" max="12" width="8.6328125" style="113" customWidth="1"/>
    <col min="13" max="251" width="12.54296875" style="113"/>
    <col min="252" max="16384" width="12.54296875" style="114"/>
  </cols>
  <sheetData>
    <row r="1" spans="1:252" s="2" customFormat="1" ht="15">
      <c r="A1" s="1" t="s">
        <v>41</v>
      </c>
      <c r="B1" s="111"/>
      <c r="C1" s="111"/>
      <c r="D1" s="111"/>
      <c r="E1" s="111"/>
      <c r="F1" s="111"/>
      <c r="G1" s="111"/>
      <c r="H1" s="111"/>
      <c r="I1" s="111"/>
      <c r="J1" s="112"/>
      <c r="K1" s="3"/>
    </row>
    <row r="2" spans="1:252" s="2" customFormat="1">
      <c r="A2" s="1" t="s">
        <v>28</v>
      </c>
      <c r="B2" s="111"/>
      <c r="C2" s="111"/>
      <c r="D2" s="111"/>
      <c r="E2" s="111"/>
      <c r="F2" s="111"/>
      <c r="G2" s="111"/>
      <c r="H2" s="111"/>
      <c r="I2" s="111"/>
      <c r="J2" s="3"/>
      <c r="K2" s="3"/>
    </row>
    <row r="3" spans="1:252" s="2" customFormat="1">
      <c r="A3" s="1" t="s">
        <v>431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252" ht="15.65" customHeight="1">
      <c r="A4" s="1" t="str">
        <f>'Appendix B - COS'!A4</f>
        <v>Fiscal Year Ending December 31, 2017</v>
      </c>
    </row>
    <row r="5" spans="1:252">
      <c r="A5" s="1" t="str">
        <f>'Appendix B - COS'!A5</f>
        <v>Draft of June 19, 2019</v>
      </c>
      <c r="G5" s="130"/>
      <c r="H5" s="130"/>
      <c r="I5" s="130"/>
    </row>
    <row r="6" spans="1:252">
      <c r="G6" s="115"/>
      <c r="H6" s="115"/>
      <c r="I6" s="115"/>
    </row>
    <row r="7" spans="1:252">
      <c r="G7" s="116" t="s">
        <v>432</v>
      </c>
      <c r="H7" s="116"/>
      <c r="I7" s="116"/>
    </row>
    <row r="8" spans="1:252">
      <c r="A8" s="117" t="s">
        <v>43</v>
      </c>
      <c r="I8" s="117"/>
    </row>
    <row r="9" spans="1:252" ht="14.5" thickBot="1">
      <c r="A9" s="118" t="s">
        <v>1</v>
      </c>
      <c r="C9" s="119"/>
      <c r="E9" s="118" t="s">
        <v>417</v>
      </c>
      <c r="G9" s="118" t="s">
        <v>434</v>
      </c>
      <c r="H9" s="118"/>
      <c r="I9" s="118" t="s">
        <v>449</v>
      </c>
      <c r="K9" s="118" t="s">
        <v>418</v>
      </c>
    </row>
    <row r="10" spans="1:252">
      <c r="C10" s="117" t="s">
        <v>2</v>
      </c>
      <c r="E10" s="117" t="s">
        <v>3</v>
      </c>
      <c r="G10" s="117" t="s">
        <v>4</v>
      </c>
      <c r="H10" s="117"/>
      <c r="I10" s="117" t="s">
        <v>5</v>
      </c>
      <c r="K10" s="120" t="s">
        <v>6</v>
      </c>
    </row>
    <row r="11" spans="1:252">
      <c r="C11" s="117"/>
      <c r="E11" s="117"/>
      <c r="G11" s="117"/>
      <c r="H11" s="117"/>
      <c r="I11" s="117"/>
      <c r="K11" s="117"/>
    </row>
    <row r="12" spans="1:252">
      <c r="A12" s="16"/>
      <c r="C12" s="121" t="s">
        <v>419</v>
      </c>
      <c r="E12" s="114"/>
      <c r="G12" s="114"/>
      <c r="H12" s="114"/>
      <c r="I12" s="114"/>
      <c r="K12" s="114"/>
    </row>
    <row r="13" spans="1:252">
      <c r="A13" s="16">
        <f>IF(ISNUMBER(G13),MAX(A$12:A12)+1,"")</f>
        <v>1</v>
      </c>
      <c r="C13" s="122" t="s">
        <v>413</v>
      </c>
      <c r="E13" s="123" t="s">
        <v>420</v>
      </c>
      <c r="G13" s="124">
        <f>'Appendix B - COS'!K95</f>
        <v>30196184.210352179</v>
      </c>
      <c r="H13" s="124"/>
      <c r="I13" s="124">
        <f>'Appendix B - COS'!O95</f>
        <v>50208430.718085721</v>
      </c>
      <c r="K13" s="113" t="s">
        <v>41</v>
      </c>
    </row>
    <row r="14" spans="1:252" s="113" customFormat="1">
      <c r="A14" s="16"/>
      <c r="C14" s="117"/>
      <c r="E14" s="117"/>
      <c r="G14" s="117"/>
      <c r="H14" s="117"/>
      <c r="I14" s="117"/>
      <c r="K14" s="117"/>
      <c r="IR14" s="114"/>
    </row>
    <row r="15" spans="1:252" s="113" customFormat="1">
      <c r="A15" s="16" t="str">
        <f>IF(ISNUMBER(G15),MAX(A$12:A13)+1,"")</f>
        <v/>
      </c>
      <c r="C15" s="125" t="s">
        <v>421</v>
      </c>
      <c r="D15" s="113" t="s">
        <v>52</v>
      </c>
      <c r="IR15" s="114"/>
    </row>
    <row r="16" spans="1:252" s="113" customFormat="1">
      <c r="A16" s="16">
        <f>IF(ISNUMBER(G16),MAX(A$12:A15)+1,"")</f>
        <v>2</v>
      </c>
      <c r="C16" s="122" t="s">
        <v>519</v>
      </c>
      <c r="E16" s="123" t="s">
        <v>422</v>
      </c>
      <c r="G16" s="155">
        <f>'Exh VIII - Loads'!P25</f>
        <v>732.56479583934913</v>
      </c>
      <c r="H16" s="155"/>
      <c r="I16" s="155">
        <f>'Exh VIII - Loads'!U25</f>
        <v>720.57497324914902</v>
      </c>
      <c r="K16" s="113" t="s">
        <v>389</v>
      </c>
      <c r="IR16" s="114"/>
    </row>
    <row r="17" spans="1:252" s="113" customFormat="1" ht="15" customHeight="1">
      <c r="A17" s="16" t="str">
        <f>IF(ISNUMBER(G17),MAX(A$12:A16)+1,"")</f>
        <v/>
      </c>
      <c r="E17" s="123"/>
      <c r="K17" s="126"/>
      <c r="IR17" s="114"/>
    </row>
    <row r="18" spans="1:252" s="113" customFormat="1" ht="15" customHeight="1">
      <c r="A18" s="16" t="str">
        <f>IF(ISNUMBER(G18),MAX(A$12:A17)+1,"")</f>
        <v/>
      </c>
      <c r="C18" s="125" t="s">
        <v>616</v>
      </c>
      <c r="E18" s="123"/>
      <c r="K18" s="126"/>
      <c r="IR18" s="114"/>
    </row>
    <row r="19" spans="1:252" s="113" customFormat="1" ht="15" customHeight="1">
      <c r="A19" s="16">
        <f>IF(ISNUMBER(G19),MAX(A$12:A18)+1,"")</f>
        <v>3</v>
      </c>
      <c r="C19" s="122" t="s">
        <v>423</v>
      </c>
      <c r="E19" s="127" t="s">
        <v>424</v>
      </c>
      <c r="G19" s="166">
        <f>G13/(G16*1000)</f>
        <v>41.219813430639078</v>
      </c>
      <c r="H19" s="166"/>
      <c r="I19" s="166">
        <f>I13/(I16*1000)</f>
        <v>69.678288286492347</v>
      </c>
      <c r="K19" s="128" t="s">
        <v>588</v>
      </c>
      <c r="IR19" s="114"/>
    </row>
    <row r="20" spans="1:252" s="113" customFormat="1" ht="15" customHeight="1">
      <c r="A20" s="16">
        <f>IF(ISNUMBER(G20),MAX(A$12:A19)+1,"")</f>
        <v>4</v>
      </c>
      <c r="C20" s="122" t="s">
        <v>425</v>
      </c>
      <c r="D20" s="113" t="s">
        <v>52</v>
      </c>
      <c r="E20" s="123" t="s">
        <v>426</v>
      </c>
      <c r="G20" s="166">
        <f>G19/12</f>
        <v>3.4349844525532567</v>
      </c>
      <c r="H20" s="166"/>
      <c r="I20" s="166">
        <f>I19/12</f>
        <v>5.8065240238743625</v>
      </c>
      <c r="K20" s="126" t="s">
        <v>584</v>
      </c>
      <c r="IR20" s="114"/>
    </row>
    <row r="21" spans="1:252" s="113" customFormat="1" ht="15" customHeight="1">
      <c r="A21" s="16">
        <f>IF(ISNUMBER(G21),MAX(A$12:A20)+1,"")</f>
        <v>5</v>
      </c>
      <c r="C21" s="122" t="s">
        <v>427</v>
      </c>
      <c r="D21" s="113" t="s">
        <v>52</v>
      </c>
      <c r="E21" s="123" t="s">
        <v>428</v>
      </c>
      <c r="G21" s="166">
        <f>G19/52</f>
        <v>0.79268871981998223</v>
      </c>
      <c r="H21" s="166"/>
      <c r="I21" s="166">
        <f>I19/52</f>
        <v>1.3399670824325451</v>
      </c>
      <c r="J21" s="129"/>
      <c r="K21" s="126" t="s">
        <v>586</v>
      </c>
      <c r="IR21" s="114"/>
    </row>
    <row r="22" spans="1:252" s="113" customFormat="1" ht="15" customHeight="1">
      <c r="A22" s="16">
        <f>IF(ISNUMBER(G22),MAX(A$12:A21)+1,"")</f>
        <v>6</v>
      </c>
      <c r="C22" s="122" t="s">
        <v>429</v>
      </c>
      <c r="D22" s="113" t="s">
        <v>52</v>
      </c>
      <c r="E22" s="123" t="s">
        <v>430</v>
      </c>
      <c r="G22" s="168">
        <f>G21/7</f>
        <v>0.11324124568856889</v>
      </c>
      <c r="H22" s="168"/>
      <c r="I22" s="168">
        <f>I21/7</f>
        <v>0.19142386891893501</v>
      </c>
      <c r="J22" s="129"/>
      <c r="K22" s="126" t="s">
        <v>585</v>
      </c>
      <c r="IR22" s="114"/>
    </row>
    <row r="23" spans="1:252" s="113" customFormat="1" ht="15" customHeight="1">
      <c r="A23" s="16">
        <f>IF(ISNUMBER(G23),MAX(A$12:A22)+1,"")</f>
        <v>7</v>
      </c>
      <c r="C23" s="122" t="s">
        <v>541</v>
      </c>
      <c r="E23" s="123" t="s">
        <v>542</v>
      </c>
      <c r="G23" s="167">
        <f>G19/8760</f>
        <v>4.7054581541825435E-3</v>
      </c>
      <c r="H23" s="167"/>
      <c r="I23" s="167">
        <f>I19/8760</f>
        <v>7.9541424984580309E-3</v>
      </c>
      <c r="K23" s="126" t="s">
        <v>587</v>
      </c>
      <c r="IR23" s="114"/>
    </row>
    <row r="25" spans="1:252">
      <c r="A25" s="9" t="s">
        <v>112</v>
      </c>
    </row>
    <row r="26" spans="1:252">
      <c r="A26" s="9" t="s">
        <v>113</v>
      </c>
      <c r="C26" s="113" t="s">
        <v>617</v>
      </c>
    </row>
  </sheetData>
  <pageMargins left="0.7" right="0.7" top="0.75" bottom="0.75" header="0.3" footer="0.3"/>
  <pageSetup scale="7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showGridLines="0" zoomScale="70" zoomScaleNormal="70" workbookViewId="0">
      <selection activeCell="P42" sqref="P42"/>
    </sheetView>
  </sheetViews>
  <sheetFormatPr defaultColWidth="9.08984375" defaultRowHeight="14"/>
  <cols>
    <col min="1" max="1" width="11.6328125" style="51" customWidth="1"/>
    <col min="2" max="2" width="1.6328125" style="51" customWidth="1"/>
    <col min="3" max="3" width="13.90625" style="51" customWidth="1"/>
    <col min="4" max="4" width="1.6328125" style="51" customWidth="1"/>
    <col min="5" max="5" width="15.90625" style="51" bestFit="1" customWidth="1"/>
    <col min="6" max="6" width="17.6328125" style="51" bestFit="1" customWidth="1"/>
    <col min="7" max="7" width="6.54296875" style="134" customWidth="1"/>
    <col min="8" max="8" width="9.6328125" style="51" bestFit="1" customWidth="1"/>
    <col min="9" max="9" width="9.453125" style="51" bestFit="1" customWidth="1"/>
    <col min="10" max="10" width="12.453125" style="51" bestFit="1" customWidth="1"/>
    <col min="11" max="11" width="8.453125" style="51" bestFit="1" customWidth="1"/>
    <col min="12" max="12" width="14.54296875" style="51" bestFit="1" customWidth="1"/>
    <col min="13" max="13" width="4.90625" style="134" customWidth="1"/>
    <col min="14" max="14" width="16.90625" style="51" bestFit="1" customWidth="1"/>
    <col min="15" max="15" width="20" style="51" bestFit="1" customWidth="1"/>
    <col min="16" max="16" width="19.54296875" style="51" bestFit="1" customWidth="1"/>
    <col min="17" max="17" width="4.6328125" style="51" customWidth="1"/>
    <col min="18" max="18" width="18.36328125" style="51" bestFit="1" customWidth="1"/>
    <col min="19" max="19" width="15.453125" style="51" bestFit="1" customWidth="1"/>
    <col min="20" max="20" width="4" style="51" customWidth="1"/>
    <col min="21" max="21" width="12.6328125" style="51" bestFit="1" customWidth="1"/>
    <col min="22" max="22" width="16" style="51" bestFit="1" customWidth="1"/>
    <col min="23" max="23" width="21" style="51" bestFit="1" customWidth="1"/>
    <col min="24" max="24" width="9.08984375" style="51"/>
    <col min="25" max="25" width="23.36328125" style="51" bestFit="1" customWidth="1"/>
    <col min="26" max="16384" width="9.08984375" style="51"/>
  </cols>
  <sheetData>
    <row r="1" spans="1:23">
      <c r="A1" s="1" t="s">
        <v>389</v>
      </c>
      <c r="B1" s="1"/>
    </row>
    <row r="2" spans="1:23">
      <c r="A2" s="1" t="str">
        <f>'Appendix B - COS'!$A$2</f>
        <v>Grant County Public Utility District</v>
      </c>
      <c r="B2" s="1"/>
    </row>
    <row r="3" spans="1:23">
      <c r="A3" s="1" t="s">
        <v>346</v>
      </c>
      <c r="B3" s="1"/>
    </row>
    <row r="4" spans="1:23">
      <c r="A4" s="1" t="str">
        <f>'Appendix B - COS'!$A$4</f>
        <v>Fiscal Year Ending December 31, 2017</v>
      </c>
      <c r="B4" s="1"/>
    </row>
    <row r="5" spans="1:23">
      <c r="A5" s="1" t="str">
        <f>'Appendix B - COS'!$A$5</f>
        <v>Draft of June 19, 2019</v>
      </c>
      <c r="B5" s="1"/>
    </row>
    <row r="6" spans="1:23">
      <c r="A6" s="1"/>
      <c r="B6" s="1"/>
    </row>
    <row r="7" spans="1:23">
      <c r="A7" s="4"/>
      <c r="B7" s="4"/>
      <c r="C7" s="53"/>
      <c r="D7" s="53"/>
      <c r="E7" s="53"/>
      <c r="F7" s="56"/>
      <c r="G7" s="149"/>
      <c r="H7" s="98"/>
      <c r="I7" s="98"/>
      <c r="J7" s="98"/>
      <c r="K7" s="98"/>
      <c r="L7" s="54"/>
      <c r="M7" s="144"/>
    </row>
    <row r="8" spans="1:23" ht="42.65" customHeight="1">
      <c r="A8" s="9"/>
      <c r="B8" s="9"/>
      <c r="C8" s="55"/>
      <c r="D8" s="55"/>
      <c r="E8" s="99" t="s">
        <v>383</v>
      </c>
      <c r="F8" s="100"/>
      <c r="G8" s="149"/>
      <c r="H8" s="99" t="s">
        <v>373</v>
      </c>
      <c r="I8" s="133"/>
      <c r="J8" s="133"/>
      <c r="K8" s="133"/>
      <c r="L8" s="133"/>
      <c r="N8" s="209" t="s">
        <v>374</v>
      </c>
      <c r="O8" s="209"/>
      <c r="P8" s="209"/>
      <c r="T8" s="62"/>
      <c r="U8" s="208" t="s">
        <v>524</v>
      </c>
      <c r="V8" s="208"/>
      <c r="W8" s="208"/>
    </row>
    <row r="9" spans="1:23" ht="42.5" thickBot="1">
      <c r="A9" s="97" t="s">
        <v>361</v>
      </c>
      <c r="B9" s="12"/>
      <c r="C9" s="57" t="s">
        <v>347</v>
      </c>
      <c r="D9" s="55"/>
      <c r="E9" s="97" t="s">
        <v>360</v>
      </c>
      <c r="F9" s="97" t="s">
        <v>362</v>
      </c>
      <c r="G9" s="150"/>
      <c r="H9" s="97" t="s">
        <v>375</v>
      </c>
      <c r="I9" s="97" t="s">
        <v>376</v>
      </c>
      <c r="J9" s="97" t="s">
        <v>377</v>
      </c>
      <c r="K9" s="97" t="s">
        <v>378</v>
      </c>
      <c r="L9" s="97" t="s">
        <v>379</v>
      </c>
      <c r="M9" s="148"/>
      <c r="N9" s="97" t="s">
        <v>380</v>
      </c>
      <c r="O9" s="97" t="s">
        <v>381</v>
      </c>
      <c r="P9" s="97" t="s">
        <v>523</v>
      </c>
      <c r="R9" s="97" t="s">
        <v>606</v>
      </c>
      <c r="S9" s="97" t="s">
        <v>520</v>
      </c>
      <c r="U9" s="97" t="s">
        <v>530</v>
      </c>
      <c r="V9" s="97" t="s">
        <v>529</v>
      </c>
      <c r="W9" s="97" t="s">
        <v>531</v>
      </c>
    </row>
    <row r="10" spans="1:23">
      <c r="A10" s="4"/>
      <c r="B10" s="4"/>
      <c r="C10" s="7" t="s">
        <v>2</v>
      </c>
      <c r="E10" s="7" t="s">
        <v>4</v>
      </c>
      <c r="F10" s="7" t="s">
        <v>5</v>
      </c>
      <c r="H10" s="7" t="s">
        <v>6</v>
      </c>
      <c r="I10" s="7" t="s">
        <v>7</v>
      </c>
      <c r="J10" s="7" t="s">
        <v>117</v>
      </c>
      <c r="K10" s="7" t="s">
        <v>118</v>
      </c>
      <c r="L10" s="7" t="s">
        <v>334</v>
      </c>
      <c r="N10" s="7" t="s">
        <v>384</v>
      </c>
      <c r="O10" s="7" t="s">
        <v>385</v>
      </c>
      <c r="P10" s="7" t="s">
        <v>386</v>
      </c>
      <c r="R10" s="7" t="s">
        <v>387</v>
      </c>
      <c r="S10" s="147" t="s">
        <v>521</v>
      </c>
      <c r="U10" s="147" t="s">
        <v>522</v>
      </c>
      <c r="V10" s="55" t="s">
        <v>525</v>
      </c>
      <c r="W10" s="55" t="s">
        <v>532</v>
      </c>
    </row>
    <row r="11" spans="1:23">
      <c r="A11" s="4"/>
      <c r="B11" s="4"/>
      <c r="C11" s="7"/>
      <c r="E11" s="7"/>
      <c r="F11" s="7"/>
      <c r="H11" s="7"/>
      <c r="I11" s="7"/>
      <c r="J11" s="7"/>
      <c r="K11" s="7"/>
      <c r="L11" s="7"/>
      <c r="N11" s="7"/>
      <c r="O11" s="7"/>
      <c r="P11" s="140" t="s">
        <v>526</v>
      </c>
      <c r="R11" s="7"/>
      <c r="S11" s="140"/>
      <c r="U11" s="62" t="s">
        <v>527</v>
      </c>
      <c r="V11" s="140" t="s">
        <v>528</v>
      </c>
      <c r="W11" s="62" t="s">
        <v>607</v>
      </c>
    </row>
    <row r="12" spans="1:23">
      <c r="H12" s="62"/>
      <c r="I12" s="62"/>
      <c r="J12" s="62"/>
      <c r="K12" s="95"/>
    </row>
    <row r="13" spans="1:23">
      <c r="A13" s="16">
        <f>IF(ISNUMBER(E13),MAX(A$12:A12)+1,"")</f>
        <v>1</v>
      </c>
      <c r="C13" s="51" t="s">
        <v>348</v>
      </c>
      <c r="E13" s="135">
        <v>790.43000000000006</v>
      </c>
      <c r="F13" s="136" t="s">
        <v>363</v>
      </c>
      <c r="H13" s="137">
        <v>1.88</v>
      </c>
      <c r="I13" s="137">
        <v>1.19</v>
      </c>
      <c r="J13" s="137">
        <v>2.93</v>
      </c>
      <c r="K13" s="137">
        <v>2.1188035728000001</v>
      </c>
      <c r="L13" s="137">
        <v>0.49536000000000002</v>
      </c>
      <c r="M13" s="151"/>
      <c r="N13" s="135">
        <v>771.70042693040011</v>
      </c>
      <c r="O13" s="136" t="s">
        <v>363</v>
      </c>
      <c r="P13" s="103">
        <f>SUM(H13:N13)</f>
        <v>780.31459050320007</v>
      </c>
      <c r="R13" s="137">
        <v>1.1835460728</v>
      </c>
      <c r="S13" s="137"/>
      <c r="U13" s="152">
        <f>P13-R13</f>
        <v>779.13104443040004</v>
      </c>
      <c r="V13" s="103">
        <f>P13+S13</f>
        <v>780.31459050320007</v>
      </c>
      <c r="W13" s="154">
        <f>U13+S13</f>
        <v>779.13104443040004</v>
      </c>
    </row>
    <row r="14" spans="1:23">
      <c r="A14" s="16">
        <f>IF(ISNUMBER(E14),MAX(A$12:A13)+1,"")</f>
        <v>2</v>
      </c>
      <c r="C14" s="51" t="s">
        <v>349</v>
      </c>
      <c r="E14" s="135">
        <v>712.81999999999994</v>
      </c>
      <c r="F14" s="136" t="s">
        <v>364</v>
      </c>
      <c r="H14" s="137">
        <v>1.7</v>
      </c>
      <c r="I14" s="137">
        <v>0.97</v>
      </c>
      <c r="J14" s="137">
        <v>2.7</v>
      </c>
      <c r="K14" s="137">
        <v>1.0638148951999997</v>
      </c>
      <c r="L14" s="137">
        <v>0.69328999999999996</v>
      </c>
      <c r="M14" s="151"/>
      <c r="N14" s="135">
        <v>695.03299361600023</v>
      </c>
      <c r="O14" s="136" t="s">
        <v>382</v>
      </c>
      <c r="P14" s="103">
        <f t="shared" ref="P14:P24" si="0">SUM(H14:N14)</f>
        <v>702.1600985112002</v>
      </c>
      <c r="R14" s="137">
        <v>0.17340089520000002</v>
      </c>
      <c r="S14" s="137"/>
      <c r="U14" s="152">
        <f t="shared" ref="U14:U24" si="1">P14-R14</f>
        <v>701.98669761600024</v>
      </c>
      <c r="V14" s="103">
        <f t="shared" ref="V14:V24" si="2">P14+S14</f>
        <v>702.1600985112002</v>
      </c>
      <c r="W14" s="154">
        <f t="shared" ref="W14:W23" si="3">U14+S14</f>
        <v>701.98669761600024</v>
      </c>
    </row>
    <row r="15" spans="1:23">
      <c r="A15" s="16">
        <f>IF(ISNUMBER(E15),MAX(A$12:A14)+1,"")</f>
        <v>3</v>
      </c>
      <c r="C15" s="51" t="s">
        <v>350</v>
      </c>
      <c r="E15" s="135">
        <v>605.07000000000016</v>
      </c>
      <c r="F15" s="136" t="s">
        <v>365</v>
      </c>
      <c r="H15" s="137">
        <v>1.35</v>
      </c>
      <c r="I15" s="137">
        <v>0.74</v>
      </c>
      <c r="J15" s="137">
        <v>2.35</v>
      </c>
      <c r="K15" s="137">
        <v>9.4641152511999991</v>
      </c>
      <c r="L15" s="137">
        <v>1.0535999999999999</v>
      </c>
      <c r="M15" s="151"/>
      <c r="N15" s="135">
        <v>592.05712652960017</v>
      </c>
      <c r="O15" s="136" t="s">
        <v>365</v>
      </c>
      <c r="P15" s="103">
        <f t="shared" si="0"/>
        <v>607.01484178080011</v>
      </c>
      <c r="R15" s="137">
        <v>6.9788152511999995</v>
      </c>
      <c r="S15" s="137"/>
      <c r="U15" s="152">
        <f t="shared" si="1"/>
        <v>600.03602652960012</v>
      </c>
      <c r="V15" s="103">
        <f t="shared" si="2"/>
        <v>607.01484178080011</v>
      </c>
      <c r="W15" s="154">
        <f t="shared" si="3"/>
        <v>600.03602652960012</v>
      </c>
    </row>
    <row r="16" spans="1:23">
      <c r="A16" s="16">
        <f>IF(ISNUMBER(E16),MAX(A$12:A15)+1,"")</f>
        <v>4</v>
      </c>
      <c r="C16" s="51" t="s">
        <v>351</v>
      </c>
      <c r="E16" s="135">
        <v>582.79</v>
      </c>
      <c r="F16" s="136" t="s">
        <v>366</v>
      </c>
      <c r="H16" s="137">
        <v>3.04</v>
      </c>
      <c r="I16" s="137">
        <v>1.18</v>
      </c>
      <c r="J16" s="137">
        <v>1.69</v>
      </c>
      <c r="K16" s="137">
        <v>20.269238347200002</v>
      </c>
      <c r="L16" s="137">
        <v>0.32822000000000001</v>
      </c>
      <c r="M16" s="151"/>
      <c r="N16" s="135">
        <v>584.64475530239997</v>
      </c>
      <c r="O16" s="136" t="s">
        <v>366</v>
      </c>
      <c r="P16" s="103">
        <f t="shared" si="0"/>
        <v>611.15221364959996</v>
      </c>
      <c r="R16" s="137">
        <v>13.546101847199999</v>
      </c>
      <c r="S16" s="137"/>
      <c r="U16" s="152">
        <f t="shared" si="1"/>
        <v>597.60611180239994</v>
      </c>
      <c r="V16" s="103">
        <f t="shared" si="2"/>
        <v>611.15221364959996</v>
      </c>
      <c r="W16" s="154">
        <f t="shared" si="3"/>
        <v>597.60611180239994</v>
      </c>
    </row>
    <row r="17" spans="1:23">
      <c r="A17" s="16">
        <f>IF(ISNUMBER(E17),MAX(A$12:A16)+1,"")</f>
        <v>5</v>
      </c>
      <c r="C17" s="51" t="s">
        <v>352</v>
      </c>
      <c r="E17" s="135">
        <v>700.32100000000014</v>
      </c>
      <c r="F17" s="136" t="s">
        <v>367</v>
      </c>
      <c r="H17" s="137">
        <v>9.94</v>
      </c>
      <c r="I17" s="137">
        <v>0.86</v>
      </c>
      <c r="J17" s="137">
        <v>4.0599999999999996</v>
      </c>
      <c r="K17" s="137">
        <v>29.4844785624</v>
      </c>
      <c r="L17" s="137">
        <v>2.2067284946236558</v>
      </c>
      <c r="M17" s="151"/>
      <c r="N17" s="135">
        <v>720.60071949840017</v>
      </c>
      <c r="O17" s="136" t="s">
        <v>367</v>
      </c>
      <c r="P17" s="103">
        <f t="shared" si="0"/>
        <v>767.15192655542387</v>
      </c>
      <c r="R17" s="137">
        <v>20.016828062399998</v>
      </c>
      <c r="S17" s="137"/>
      <c r="U17" s="152">
        <f t="shared" si="1"/>
        <v>747.13509849302386</v>
      </c>
      <c r="V17" s="103">
        <f t="shared" si="2"/>
        <v>767.15192655542387</v>
      </c>
      <c r="W17" s="154">
        <f t="shared" si="3"/>
        <v>747.13509849302386</v>
      </c>
    </row>
    <row r="18" spans="1:23">
      <c r="A18" s="16">
        <f>IF(ISNUMBER(E18),MAX(A$12:A17)+1,"")</f>
        <v>6</v>
      </c>
      <c r="C18" s="51" t="s">
        <v>353</v>
      </c>
      <c r="E18" s="135">
        <v>755.34800000000018</v>
      </c>
      <c r="F18" s="136" t="s">
        <v>368</v>
      </c>
      <c r="H18" s="137">
        <v>12.6</v>
      </c>
      <c r="I18" s="137">
        <v>0.88</v>
      </c>
      <c r="J18" s="137">
        <v>4.88</v>
      </c>
      <c r="K18" s="137">
        <v>32.9904910144</v>
      </c>
      <c r="L18" s="137">
        <v>1.7401402777777777</v>
      </c>
      <c r="M18" s="151"/>
      <c r="N18" s="135">
        <v>777.91173036880014</v>
      </c>
      <c r="O18" s="136" t="s">
        <v>368</v>
      </c>
      <c r="P18" s="103">
        <f t="shared" si="0"/>
        <v>831.00236166097795</v>
      </c>
      <c r="R18" s="137">
        <v>22.142241014400003</v>
      </c>
      <c r="S18" s="137"/>
      <c r="U18" s="152">
        <f t="shared" si="1"/>
        <v>808.86012064657791</v>
      </c>
      <c r="V18" s="103">
        <f t="shared" si="2"/>
        <v>831.00236166097795</v>
      </c>
      <c r="W18" s="154">
        <f t="shared" si="3"/>
        <v>808.86012064657791</v>
      </c>
    </row>
    <row r="19" spans="1:23">
      <c r="A19" s="16">
        <f>IF(ISNUMBER(E19),MAX(A$12:A18)+1,"")</f>
        <v>7</v>
      </c>
      <c r="C19" s="51" t="s">
        <v>354</v>
      </c>
      <c r="E19" s="135">
        <v>802.91699999999969</v>
      </c>
      <c r="F19" s="136" t="s">
        <v>369</v>
      </c>
      <c r="H19" s="137">
        <v>12.29</v>
      </c>
      <c r="I19" s="137">
        <v>1.48</v>
      </c>
      <c r="J19" s="137">
        <v>5.34</v>
      </c>
      <c r="K19" s="137">
        <v>33.721846746399997</v>
      </c>
      <c r="L19" s="137">
        <v>2.0567899999999999</v>
      </c>
      <c r="M19" s="151"/>
      <c r="N19" s="135">
        <v>825.83874051119972</v>
      </c>
      <c r="O19" s="136" t="s">
        <v>369</v>
      </c>
      <c r="P19" s="103">
        <f t="shared" si="0"/>
        <v>880.72737725759976</v>
      </c>
      <c r="R19" s="137">
        <v>23.436194246400003</v>
      </c>
      <c r="S19" s="137"/>
      <c r="U19" s="152">
        <f t="shared" si="1"/>
        <v>857.29118301119979</v>
      </c>
      <c r="V19" s="103">
        <f t="shared" si="2"/>
        <v>880.72737725759976</v>
      </c>
      <c r="W19" s="154">
        <f t="shared" si="3"/>
        <v>857.29118301119979</v>
      </c>
    </row>
    <row r="20" spans="1:23">
      <c r="A20" s="16">
        <f>IF(ISNUMBER(E20),MAX(A$12:A19)+1,"")</f>
        <v>8</v>
      </c>
      <c r="C20" s="51" t="s">
        <v>355</v>
      </c>
      <c r="E20" s="135">
        <v>787.00400000000013</v>
      </c>
      <c r="F20" s="136" t="s">
        <v>370</v>
      </c>
      <c r="H20" s="137">
        <v>11.45</v>
      </c>
      <c r="I20" s="137">
        <v>1.55</v>
      </c>
      <c r="J20" s="137">
        <v>5.35</v>
      </c>
      <c r="K20" s="137">
        <v>33.402253218399999</v>
      </c>
      <c r="L20" s="137">
        <v>1.97797</v>
      </c>
      <c r="M20" s="151"/>
      <c r="N20" s="135">
        <v>810.79963308320009</v>
      </c>
      <c r="O20" s="136" t="s">
        <v>370</v>
      </c>
      <c r="P20" s="103">
        <f t="shared" si="0"/>
        <v>864.52985630160015</v>
      </c>
      <c r="R20" s="137">
        <v>23.2110842184</v>
      </c>
      <c r="S20" s="137"/>
      <c r="U20" s="152">
        <f t="shared" si="1"/>
        <v>841.3187720832002</v>
      </c>
      <c r="V20" s="103">
        <f t="shared" si="2"/>
        <v>864.52985630160015</v>
      </c>
      <c r="W20" s="154">
        <f t="shared" si="3"/>
        <v>841.3187720832002</v>
      </c>
    </row>
    <row r="21" spans="1:23">
      <c r="A21" s="16">
        <f>IF(ISNUMBER(E21),MAX(A$12:A20)+1,"")</f>
        <v>9</v>
      </c>
      <c r="C21" s="51" t="s">
        <v>356</v>
      </c>
      <c r="E21" s="135">
        <v>729.99800000000027</v>
      </c>
      <c r="F21" s="136" t="s">
        <v>370</v>
      </c>
      <c r="H21" s="137">
        <v>9.84</v>
      </c>
      <c r="I21" s="137">
        <v>1.3</v>
      </c>
      <c r="J21" s="137">
        <v>4.9400000000000004</v>
      </c>
      <c r="K21" s="137">
        <v>28.7865785312</v>
      </c>
      <c r="L21" s="137">
        <v>1.7671300000000001</v>
      </c>
      <c r="M21" s="151"/>
      <c r="N21" s="135">
        <v>751.06587159440028</v>
      </c>
      <c r="O21" s="136" t="s">
        <v>370</v>
      </c>
      <c r="P21" s="103">
        <f t="shared" si="0"/>
        <v>797.69958012560028</v>
      </c>
      <c r="R21" s="137">
        <v>20.156779531200002</v>
      </c>
      <c r="S21" s="137"/>
      <c r="U21" s="152">
        <f t="shared" si="1"/>
        <v>777.54280059440032</v>
      </c>
      <c r="V21" s="103">
        <f t="shared" si="2"/>
        <v>797.69958012560028</v>
      </c>
      <c r="W21" s="154">
        <f t="shared" si="3"/>
        <v>777.54280059440032</v>
      </c>
    </row>
    <row r="22" spans="1:23">
      <c r="A22" s="16">
        <f>IF(ISNUMBER(E22),MAX(A$12:A21)+1,"")</f>
        <v>10</v>
      </c>
      <c r="C22" s="51" t="s">
        <v>357</v>
      </c>
      <c r="E22" s="135">
        <v>624.5630000000001</v>
      </c>
      <c r="F22" s="136" t="s">
        <v>371</v>
      </c>
      <c r="H22" s="137">
        <v>6.33</v>
      </c>
      <c r="I22" s="137">
        <v>0.94</v>
      </c>
      <c r="J22" s="137">
        <v>3.01</v>
      </c>
      <c r="K22" s="137">
        <v>18.545843747199999</v>
      </c>
      <c r="L22" s="137">
        <v>1.1873</v>
      </c>
      <c r="M22" s="151"/>
      <c r="N22" s="135">
        <v>628.53098639120014</v>
      </c>
      <c r="O22" s="136" t="s">
        <v>371</v>
      </c>
      <c r="P22" s="103">
        <f t="shared" si="0"/>
        <v>658.54413013840019</v>
      </c>
      <c r="R22" s="137">
        <v>12.742861747199999</v>
      </c>
      <c r="S22" s="137"/>
      <c r="U22" s="152">
        <f t="shared" si="1"/>
        <v>645.80126839120021</v>
      </c>
      <c r="V22" s="103">
        <f t="shared" si="2"/>
        <v>658.54413013840019</v>
      </c>
      <c r="W22" s="154">
        <f t="shared" si="3"/>
        <v>645.80126839120021</v>
      </c>
    </row>
    <row r="23" spans="1:23">
      <c r="A23" s="16">
        <f>IF(ISNUMBER(E23),MAX(A$12:A22)+1,"")</f>
        <v>11</v>
      </c>
      <c r="C23" s="51" t="s">
        <v>358</v>
      </c>
      <c r="E23" s="135">
        <v>642.02</v>
      </c>
      <c r="F23" s="136" t="s">
        <v>365</v>
      </c>
      <c r="H23" s="137">
        <v>1.59</v>
      </c>
      <c r="I23" s="137">
        <v>1</v>
      </c>
      <c r="J23" s="137">
        <v>2.0499999999999998</v>
      </c>
      <c r="K23" s="137">
        <v>1.1681983007999996</v>
      </c>
      <c r="L23" s="137">
        <v>0.56453536754507627</v>
      </c>
      <c r="M23" s="151"/>
      <c r="N23" s="135">
        <v>629.88918284479996</v>
      </c>
      <c r="O23" s="136" t="s">
        <v>365</v>
      </c>
      <c r="P23" s="103">
        <f t="shared" si="0"/>
        <v>636.26191651314502</v>
      </c>
      <c r="R23" s="137">
        <v>0.1592053008</v>
      </c>
      <c r="S23" s="137"/>
      <c r="U23" s="152">
        <f t="shared" si="1"/>
        <v>636.10271121234507</v>
      </c>
      <c r="V23" s="103">
        <f t="shared" si="2"/>
        <v>636.26191651314502</v>
      </c>
      <c r="W23" s="154">
        <f t="shared" si="3"/>
        <v>636.10271121234507</v>
      </c>
    </row>
    <row r="24" spans="1:23">
      <c r="A24" s="16">
        <f>IF(ISNUMBER(E24),MAX(A$12:A23)+1,"")</f>
        <v>12</v>
      </c>
      <c r="C24" s="51" t="s">
        <v>359</v>
      </c>
      <c r="E24" s="135">
        <v>663.8900000000001</v>
      </c>
      <c r="F24" s="136" t="s">
        <v>372</v>
      </c>
      <c r="H24" s="137">
        <v>1.75</v>
      </c>
      <c r="I24" s="137">
        <v>1.1299999999999999</v>
      </c>
      <c r="J24" s="137">
        <v>2.71</v>
      </c>
      <c r="K24" s="137">
        <v>0.99351489519999969</v>
      </c>
      <c r="L24" s="137">
        <v>0.26705376344086024</v>
      </c>
      <c r="M24" s="151"/>
      <c r="N24" s="135">
        <v>647.36808841600009</v>
      </c>
      <c r="O24" s="136" t="s">
        <v>372</v>
      </c>
      <c r="P24" s="103">
        <f t="shared" si="0"/>
        <v>654.21865707464099</v>
      </c>
      <c r="R24" s="137">
        <v>0.1308128952</v>
      </c>
      <c r="S24" s="137"/>
      <c r="U24" s="152">
        <f t="shared" si="1"/>
        <v>654.08784417944094</v>
      </c>
      <c r="V24" s="103">
        <f t="shared" si="2"/>
        <v>654.21865707464099</v>
      </c>
      <c r="W24" s="153">
        <f>U24+S24</f>
        <v>654.08784417944094</v>
      </c>
    </row>
    <row r="25" spans="1:23">
      <c r="A25" s="16">
        <f>IF(ISNUMBER(E25),MAX(A$12:A24)+1,"")</f>
        <v>13</v>
      </c>
      <c r="C25" s="132"/>
      <c r="E25" s="101">
        <f>AVERAGE(E13:E24)</f>
        <v>699.76425000000006</v>
      </c>
      <c r="F25" s="88"/>
      <c r="H25" s="101">
        <f>AVERAGE(H13:H24)</f>
        <v>6.1466666666666674</v>
      </c>
      <c r="I25" s="101">
        <f>AVERAGE(I13:I24)</f>
        <v>1.1016666666666668</v>
      </c>
      <c r="J25" s="101">
        <f>AVERAGE(J13:J24)</f>
        <v>3.5008333333333326</v>
      </c>
      <c r="K25" s="101">
        <f>AVERAGE(K13:K24)</f>
        <v>17.667431423533333</v>
      </c>
      <c r="L25" s="101">
        <f>AVERAGE(L13:L24)</f>
        <v>1.1948431586156141</v>
      </c>
      <c r="M25" s="151"/>
      <c r="N25" s="101">
        <f>AVERAGE(N13:N24)</f>
        <v>702.95335459053342</v>
      </c>
      <c r="P25" s="102">
        <f>AVERAGE(P13:P24)</f>
        <v>732.56479583934913</v>
      </c>
      <c r="R25" s="102">
        <f>AVERAGE(R13:R24)</f>
        <v>11.989822590200001</v>
      </c>
      <c r="S25" s="156">
        <f>IFERROR(AVERAGE(S13:S24)/12,0)</f>
        <v>0</v>
      </c>
      <c r="U25" s="102">
        <f>AVERAGE(U13:U24)</f>
        <v>720.57497324914902</v>
      </c>
      <c r="V25" s="102">
        <f>AVERAGE(V13:V24)</f>
        <v>732.56479583934913</v>
      </c>
      <c r="W25" s="102">
        <f>AVERAGE(W13:W24)</f>
        <v>720.57497324914902</v>
      </c>
    </row>
    <row r="26" spans="1:23">
      <c r="F26" s="58"/>
      <c r="H26" s="58"/>
      <c r="I26" s="58"/>
      <c r="J26" s="58"/>
      <c r="K26" s="58"/>
    </row>
    <row r="27" spans="1:23">
      <c r="A27" s="9" t="s">
        <v>112</v>
      </c>
      <c r="B27" s="4"/>
      <c r="C27" s="2"/>
      <c r="F27" s="58"/>
      <c r="H27" s="58"/>
      <c r="I27" s="58"/>
      <c r="J27" s="58"/>
      <c r="K27" s="58"/>
    </row>
    <row r="28" spans="1:23">
      <c r="A28" s="9" t="s">
        <v>113</v>
      </c>
      <c r="B28" s="4"/>
      <c r="C28" s="4" t="s">
        <v>602</v>
      </c>
      <c r="D28" s="104" t="s">
        <v>604</v>
      </c>
      <c r="E28" s="104"/>
      <c r="F28" s="61"/>
      <c r="G28" s="104"/>
      <c r="H28" s="61"/>
      <c r="I28" s="61"/>
      <c r="J28" s="58"/>
      <c r="K28" s="58"/>
    </row>
    <row r="29" spans="1:23">
      <c r="A29" s="9"/>
      <c r="B29" s="4"/>
      <c r="C29" s="2"/>
      <c r="F29" s="58"/>
      <c r="H29" s="58"/>
      <c r="I29" s="58"/>
      <c r="J29" s="58"/>
      <c r="K29" s="58"/>
    </row>
    <row r="30" spans="1:23">
      <c r="A30" s="9" t="s">
        <v>115</v>
      </c>
      <c r="C30" s="51" t="s">
        <v>603</v>
      </c>
      <c r="F30" s="58"/>
      <c r="H30" s="58"/>
      <c r="I30" s="58"/>
      <c r="J30" s="58"/>
      <c r="K30" s="58"/>
    </row>
    <row r="31" spans="1:23">
      <c r="F31" s="58"/>
      <c r="H31" s="58"/>
      <c r="I31" s="58"/>
      <c r="J31" s="58"/>
      <c r="K31" s="58"/>
    </row>
    <row r="32" spans="1:23">
      <c r="F32" s="58"/>
      <c r="H32" s="58"/>
      <c r="I32" s="58"/>
      <c r="J32" s="58"/>
      <c r="K32" s="58"/>
    </row>
    <row r="33" spans="6:11">
      <c r="F33" s="58"/>
      <c r="H33" s="58"/>
      <c r="I33" s="58"/>
      <c r="J33" s="58"/>
      <c r="K33" s="58"/>
    </row>
    <row r="34" spans="6:11">
      <c r="F34" s="58"/>
      <c r="H34" s="58"/>
      <c r="I34" s="58"/>
      <c r="J34" s="58"/>
      <c r="K34" s="58"/>
    </row>
    <row r="35" spans="6:11">
      <c r="F35" s="58"/>
      <c r="H35" s="58"/>
      <c r="I35" s="58"/>
      <c r="J35" s="58"/>
      <c r="K35" s="58"/>
    </row>
    <row r="36" spans="6:11">
      <c r="F36" s="58"/>
      <c r="H36" s="58"/>
      <c r="I36" s="58"/>
      <c r="J36" s="58"/>
      <c r="K36" s="58"/>
    </row>
    <row r="37" spans="6:11">
      <c r="F37" s="58"/>
      <c r="H37" s="58"/>
      <c r="I37" s="58"/>
      <c r="J37" s="58"/>
      <c r="K37" s="58"/>
    </row>
    <row r="38" spans="6:11">
      <c r="F38" s="58"/>
      <c r="H38" s="58"/>
      <c r="I38" s="58"/>
      <c r="J38" s="58"/>
      <c r="K38" s="58"/>
    </row>
    <row r="39" spans="6:11">
      <c r="F39" s="58"/>
      <c r="H39" s="58"/>
      <c r="I39" s="58"/>
      <c r="J39" s="58"/>
      <c r="K39" s="58"/>
    </row>
    <row r="40" spans="6:11">
      <c r="F40" s="58"/>
      <c r="H40" s="58"/>
      <c r="I40" s="58"/>
      <c r="J40" s="58"/>
      <c r="K40" s="58"/>
    </row>
    <row r="41" spans="6:11">
      <c r="F41" s="58"/>
      <c r="H41" s="58"/>
      <c r="I41" s="58"/>
      <c r="J41" s="58"/>
      <c r="K41" s="58"/>
    </row>
    <row r="42" spans="6:11">
      <c r="F42" s="58"/>
      <c r="H42" s="58"/>
      <c r="I42" s="58"/>
      <c r="J42" s="58"/>
      <c r="K42" s="58"/>
    </row>
    <row r="43" spans="6:11">
      <c r="F43" s="58"/>
      <c r="H43" s="58"/>
      <c r="I43" s="58"/>
      <c r="J43" s="58"/>
      <c r="K43" s="58"/>
    </row>
    <row r="44" spans="6:11">
      <c r="F44" s="58"/>
      <c r="H44" s="58"/>
      <c r="I44" s="58"/>
      <c r="J44" s="58"/>
      <c r="K44" s="58"/>
    </row>
    <row r="45" spans="6:11">
      <c r="F45" s="58"/>
      <c r="H45" s="58"/>
      <c r="I45" s="58"/>
      <c r="J45" s="58"/>
      <c r="K45" s="58"/>
    </row>
    <row r="46" spans="6:11">
      <c r="F46" s="58"/>
      <c r="H46" s="58"/>
      <c r="I46" s="58"/>
      <c r="J46" s="58"/>
      <c r="K46" s="58"/>
    </row>
    <row r="47" spans="6:11">
      <c r="F47" s="58"/>
      <c r="H47" s="58"/>
      <c r="I47" s="58"/>
      <c r="J47" s="58"/>
      <c r="K47" s="58"/>
    </row>
    <row r="48" spans="6:11">
      <c r="F48" s="58"/>
      <c r="H48" s="58"/>
      <c r="I48" s="58"/>
      <c r="J48" s="58"/>
      <c r="K48" s="58"/>
    </row>
    <row r="49" spans="6:11">
      <c r="F49" s="58"/>
      <c r="H49" s="58"/>
      <c r="I49" s="58"/>
      <c r="J49" s="58"/>
      <c r="K49" s="58"/>
    </row>
    <row r="50" spans="6:11">
      <c r="F50" s="58"/>
      <c r="H50" s="58"/>
      <c r="I50" s="58"/>
      <c r="J50" s="58"/>
      <c r="K50" s="58"/>
    </row>
    <row r="51" spans="6:11">
      <c r="F51" s="58"/>
      <c r="H51" s="58"/>
      <c r="I51" s="58"/>
      <c r="J51" s="58"/>
      <c r="K51" s="58"/>
    </row>
    <row r="52" spans="6:11">
      <c r="F52" s="58"/>
      <c r="H52" s="58"/>
      <c r="I52" s="58"/>
      <c r="J52" s="58"/>
      <c r="K52" s="58"/>
    </row>
    <row r="53" spans="6:11">
      <c r="F53" s="58"/>
      <c r="H53" s="58"/>
      <c r="I53" s="58"/>
      <c r="J53" s="58"/>
      <c r="K53" s="58"/>
    </row>
    <row r="54" spans="6:11">
      <c r="F54" s="58"/>
      <c r="H54" s="58"/>
      <c r="I54" s="58"/>
      <c r="J54" s="58"/>
      <c r="K54" s="58"/>
    </row>
    <row r="55" spans="6:11">
      <c r="F55" s="58"/>
      <c r="H55" s="58"/>
      <c r="I55" s="58"/>
      <c r="J55" s="58"/>
      <c r="K55" s="58"/>
    </row>
    <row r="56" spans="6:11">
      <c r="F56" s="58"/>
      <c r="H56" s="58"/>
      <c r="I56" s="58"/>
      <c r="J56" s="58"/>
      <c r="K56" s="58"/>
    </row>
    <row r="57" spans="6:11">
      <c r="F57" s="58"/>
      <c r="H57" s="58"/>
      <c r="I57" s="58"/>
      <c r="J57" s="58"/>
      <c r="K57" s="58"/>
    </row>
    <row r="58" spans="6:11">
      <c r="F58" s="58"/>
      <c r="H58" s="58"/>
      <c r="I58" s="58"/>
      <c r="J58" s="58"/>
      <c r="K58" s="58"/>
    </row>
    <row r="59" spans="6:11">
      <c r="F59" s="58"/>
      <c r="H59" s="58"/>
      <c r="I59" s="58"/>
      <c r="J59" s="58"/>
      <c r="K59" s="58"/>
    </row>
    <row r="60" spans="6:11">
      <c r="F60" s="58"/>
      <c r="H60" s="58"/>
      <c r="I60" s="58"/>
      <c r="J60" s="58"/>
      <c r="K60" s="58"/>
    </row>
    <row r="61" spans="6:11">
      <c r="F61" s="58"/>
      <c r="H61" s="58"/>
      <c r="I61" s="58"/>
      <c r="J61" s="58"/>
      <c r="K61" s="58"/>
    </row>
    <row r="62" spans="6:11">
      <c r="F62" s="58"/>
      <c r="H62" s="58"/>
      <c r="I62" s="58"/>
      <c r="J62" s="58"/>
      <c r="K62" s="58"/>
    </row>
    <row r="63" spans="6:11">
      <c r="F63" s="58"/>
      <c r="H63" s="58"/>
      <c r="I63" s="58"/>
      <c r="J63" s="58"/>
      <c r="K63" s="58"/>
    </row>
    <row r="64" spans="6:11">
      <c r="F64" s="58"/>
      <c r="H64" s="58"/>
      <c r="I64" s="58"/>
      <c r="J64" s="58"/>
      <c r="K64" s="58"/>
    </row>
    <row r="65" spans="6:11">
      <c r="F65" s="58"/>
      <c r="H65" s="58"/>
      <c r="I65" s="58"/>
      <c r="J65" s="58"/>
      <c r="K65" s="58"/>
    </row>
    <row r="66" spans="6:11">
      <c r="F66" s="58"/>
      <c r="H66" s="58"/>
      <c r="I66" s="58"/>
      <c r="J66" s="58"/>
      <c r="K66" s="58"/>
    </row>
    <row r="67" spans="6:11">
      <c r="F67" s="58"/>
      <c r="H67" s="58"/>
      <c r="I67" s="58"/>
      <c r="J67" s="58"/>
      <c r="K67" s="58"/>
    </row>
    <row r="68" spans="6:11">
      <c r="F68" s="58"/>
      <c r="H68" s="58"/>
      <c r="I68" s="58"/>
      <c r="J68" s="58"/>
      <c r="K68" s="58"/>
    </row>
    <row r="69" spans="6:11">
      <c r="F69" s="58"/>
      <c r="H69" s="58"/>
      <c r="I69" s="58"/>
      <c r="J69" s="58"/>
      <c r="K69" s="58"/>
    </row>
  </sheetData>
  <mergeCells count="2">
    <mergeCell ref="U8:W8"/>
    <mergeCell ref="N8:P8"/>
  </mergeCells>
  <printOptions horizontalCentered="1"/>
  <pageMargins left="0.5" right="0.5" top="0.5" bottom="0.5" header="0.25" footer="0.25"/>
  <pageSetup scale="46" orientation="landscape" horizontalDpi="1200" verticalDpi="1200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showGridLines="0" topLeftCell="A70" zoomScale="70" zoomScaleNormal="70" workbookViewId="0">
      <selection activeCell="A101" sqref="A100:A101"/>
    </sheetView>
  </sheetViews>
  <sheetFormatPr defaultColWidth="9.08984375" defaultRowHeight="14"/>
  <cols>
    <col min="1" max="1" width="6.36328125" style="4" customWidth="1"/>
    <col min="2" max="2" width="1.6328125" style="4" customWidth="1"/>
    <col min="3" max="3" width="80.6328125" style="2" customWidth="1"/>
    <col min="4" max="4" width="2.6328125" style="2" customWidth="1"/>
    <col min="5" max="5" width="28.453125" style="2" bestFit="1" customWidth="1"/>
    <col min="6" max="6" width="2.6328125" style="2" customWidth="1"/>
    <col min="7" max="7" width="16" style="2" bestFit="1" customWidth="1"/>
    <col min="8" max="8" width="12" style="3" customWidth="1"/>
    <col min="9" max="9" width="8.6328125" style="2" customWidth="1"/>
    <col min="10" max="10" width="9.6328125" style="2" bestFit="1" customWidth="1"/>
    <col min="11" max="11" width="16.453125" style="2" bestFit="1" customWidth="1"/>
    <col min="12" max="12" width="12" style="2" customWidth="1"/>
    <col min="13" max="13" width="8" style="4" bestFit="1" customWidth="1"/>
    <col min="14" max="14" width="10.36328125" style="4" bestFit="1" customWidth="1"/>
    <col min="15" max="15" width="16.453125" style="2" bestFit="1" customWidth="1"/>
    <col min="16" max="16384" width="9.08984375" style="4"/>
  </cols>
  <sheetData>
    <row r="1" spans="1:15">
      <c r="A1" s="1" t="s">
        <v>416</v>
      </c>
      <c r="B1" s="1"/>
      <c r="K1" s="3"/>
      <c r="O1" s="3"/>
    </row>
    <row r="2" spans="1:15">
      <c r="A2" s="1" t="s">
        <v>28</v>
      </c>
      <c r="B2" s="1"/>
      <c r="K2" s="3"/>
      <c r="O2" s="3"/>
    </row>
    <row r="3" spans="1:15">
      <c r="A3" s="1" t="s">
        <v>29</v>
      </c>
      <c r="B3" s="1"/>
    </row>
    <row r="4" spans="1:15">
      <c r="A4" s="64" t="s">
        <v>30</v>
      </c>
      <c r="B4" s="64"/>
      <c r="C4" s="65"/>
    </row>
    <row r="5" spans="1:15">
      <c r="A5" s="64" t="s">
        <v>611</v>
      </c>
      <c r="B5" s="64"/>
      <c r="C5" s="65"/>
      <c r="M5" s="2"/>
      <c r="N5" s="2"/>
    </row>
    <row r="6" spans="1:15">
      <c r="I6" s="202" t="s">
        <v>31</v>
      </c>
      <c r="J6" s="202"/>
      <c r="K6" s="202"/>
      <c r="M6" s="202" t="s">
        <v>437</v>
      </c>
      <c r="N6" s="202"/>
      <c r="O6" s="202"/>
    </row>
    <row r="7" spans="1:15">
      <c r="A7" s="6"/>
      <c r="B7" s="6"/>
      <c r="C7" s="5"/>
      <c r="E7" s="4"/>
      <c r="G7" s="4"/>
      <c r="I7" s="4"/>
      <c r="J7" s="4"/>
      <c r="K7" s="7" t="s">
        <v>34</v>
      </c>
      <c r="O7" s="7" t="s">
        <v>34</v>
      </c>
    </row>
    <row r="8" spans="1:15">
      <c r="A8" s="9" t="s">
        <v>43</v>
      </c>
      <c r="B8" s="9"/>
      <c r="E8" s="7"/>
      <c r="G8" s="7" t="s">
        <v>34</v>
      </c>
      <c r="H8" s="10"/>
      <c r="I8" s="203" t="s">
        <v>454</v>
      </c>
      <c r="J8" s="203"/>
      <c r="K8" s="7" t="s">
        <v>40</v>
      </c>
      <c r="M8" s="203" t="s">
        <v>460</v>
      </c>
      <c r="N8" s="203"/>
      <c r="O8" s="7" t="s">
        <v>40</v>
      </c>
    </row>
    <row r="9" spans="1:15" ht="14.5" thickBot="1">
      <c r="A9" s="11" t="s">
        <v>1</v>
      </c>
      <c r="B9" s="12"/>
      <c r="C9" s="14" t="s">
        <v>435</v>
      </c>
      <c r="E9" s="14" t="s">
        <v>36</v>
      </c>
      <c r="G9" s="14" t="s">
        <v>35</v>
      </c>
      <c r="H9" s="10"/>
      <c r="I9" s="14" t="s">
        <v>38</v>
      </c>
      <c r="J9" s="14" t="s">
        <v>39</v>
      </c>
      <c r="K9" s="14" t="s">
        <v>31</v>
      </c>
      <c r="M9" s="14" t="s">
        <v>38</v>
      </c>
      <c r="N9" s="14" t="s">
        <v>39</v>
      </c>
      <c r="O9" s="14" t="s">
        <v>437</v>
      </c>
    </row>
    <row r="10" spans="1:15">
      <c r="C10" s="7" t="s">
        <v>2</v>
      </c>
      <c r="E10" s="7" t="s">
        <v>3</v>
      </c>
      <c r="F10" s="10"/>
      <c r="G10" s="7" t="s">
        <v>4</v>
      </c>
      <c r="H10" s="4"/>
      <c r="I10" s="7" t="s">
        <v>5</v>
      </c>
      <c r="J10" s="7" t="s">
        <v>6</v>
      </c>
      <c r="K10" s="7" t="s">
        <v>7</v>
      </c>
      <c r="M10" s="7" t="s">
        <v>117</v>
      </c>
      <c r="N10" s="7" t="s">
        <v>118</v>
      </c>
      <c r="O10" s="7" t="s">
        <v>334</v>
      </c>
    </row>
    <row r="11" spans="1:15">
      <c r="E11" s="7"/>
      <c r="G11" s="7"/>
      <c r="H11" s="10"/>
      <c r="I11" s="7"/>
      <c r="J11" s="7"/>
      <c r="M11" s="7"/>
      <c r="N11" s="7"/>
    </row>
    <row r="12" spans="1:15">
      <c r="C12" s="15" t="s">
        <v>8</v>
      </c>
      <c r="M12" s="2"/>
      <c r="N12" s="2"/>
    </row>
    <row r="13" spans="1:15">
      <c r="A13" s="16" t="str">
        <f>IF(ISNUMBER(#REF!),MAX(A$11:A12)+1,"")</f>
        <v/>
      </c>
      <c r="B13" s="16"/>
      <c r="C13" s="17" t="s">
        <v>9</v>
      </c>
      <c r="E13" s="19"/>
      <c r="G13" s="19"/>
      <c r="H13" s="20"/>
      <c r="I13" s="19"/>
      <c r="J13" s="19"/>
      <c r="M13" s="19"/>
      <c r="N13" s="19"/>
    </row>
    <row r="14" spans="1:15">
      <c r="A14" s="16">
        <f>IF(OR(ISNUMBER(K14),(ISNUMBER(O14))),MAX(A$11:A13)+1,"")</f>
        <v>1</v>
      </c>
      <c r="B14" s="16"/>
      <c r="C14" s="18" t="s">
        <v>10</v>
      </c>
      <c r="E14" s="19" t="s">
        <v>96</v>
      </c>
      <c r="G14" s="19">
        <f>'Exh II - Plant Data'!H34</f>
        <v>1304999294.6499999</v>
      </c>
      <c r="H14" s="20"/>
      <c r="I14" s="19" t="s">
        <v>232</v>
      </c>
      <c r="J14" s="70">
        <v>0</v>
      </c>
      <c r="K14" s="19">
        <f>G14*J14</f>
        <v>0</v>
      </c>
      <c r="M14" s="19" t="s">
        <v>232</v>
      </c>
      <c r="N14" s="70">
        <v>0</v>
      </c>
      <c r="O14" s="19">
        <f>G14*N14</f>
        <v>0</v>
      </c>
    </row>
    <row r="15" spans="1:15">
      <c r="A15" s="16">
        <f>IF(OR(ISNUMBER(K15),(ISNUMBER(O15))),MAX(A$11:A14)+1,"")</f>
        <v>2</v>
      </c>
      <c r="B15" s="16"/>
      <c r="C15" s="18" t="s">
        <v>32</v>
      </c>
      <c r="E15" s="19" t="s">
        <v>96</v>
      </c>
      <c r="G15" s="19">
        <f>'Exh II - Plant Data'!H45</f>
        <v>253175109.48999998</v>
      </c>
      <c r="H15" s="20"/>
      <c r="I15" s="19" t="s">
        <v>46</v>
      </c>
      <c r="J15" s="69">
        <f>'Exh I - Allocators'!$L$18</f>
        <v>1</v>
      </c>
      <c r="K15" s="19">
        <f>G15*J15</f>
        <v>253175109.48999998</v>
      </c>
      <c r="M15" s="19" t="s">
        <v>232</v>
      </c>
      <c r="N15" s="70">
        <v>0</v>
      </c>
      <c r="O15" s="19">
        <f>G15*N15</f>
        <v>0</v>
      </c>
    </row>
    <row r="16" spans="1:15">
      <c r="A16" s="16">
        <f>IF(OR(ISNUMBER(K16),(ISNUMBER(O16))),MAX(A$11:A15)+1,"")</f>
        <v>3</v>
      </c>
      <c r="B16" s="16"/>
      <c r="C16" s="18" t="s">
        <v>437</v>
      </c>
      <c r="E16" s="19" t="s">
        <v>96</v>
      </c>
      <c r="G16" s="19">
        <f>'Exh II - Plant Data'!H60</f>
        <v>566294855.48000014</v>
      </c>
      <c r="H16" s="20"/>
      <c r="I16" s="19" t="s">
        <v>232</v>
      </c>
      <c r="J16" s="70">
        <v>0</v>
      </c>
      <c r="K16" s="19">
        <f>G16*J16</f>
        <v>0</v>
      </c>
      <c r="M16" s="19" t="s">
        <v>451</v>
      </c>
      <c r="N16" s="108">
        <f>'Exh I - Allocators'!L$45</f>
        <v>0.75547755852491538</v>
      </c>
      <c r="O16" s="19">
        <f>G16*N16</f>
        <v>427823054.82325029</v>
      </c>
    </row>
    <row r="17" spans="1:15">
      <c r="A17" s="16">
        <f>IF(OR(ISNUMBER(K17),(ISNUMBER(O17))),MAX(A$11:A16)+1,"")</f>
        <v>4</v>
      </c>
      <c r="B17" s="16"/>
      <c r="C17" s="18" t="s">
        <v>436</v>
      </c>
      <c r="E17" s="19" t="s">
        <v>96</v>
      </c>
      <c r="G17" s="19">
        <f>'Exh II - Plant Data'!H74</f>
        <v>493451685.75000012</v>
      </c>
      <c r="H17" s="20"/>
      <c r="I17" s="19" t="s">
        <v>450</v>
      </c>
      <c r="J17" s="69">
        <f>'Exh I - Allocators'!L$57</f>
        <v>0.12410434478601609</v>
      </c>
      <c r="K17" s="19">
        <f>G17*J17</f>
        <v>61239498.143558875</v>
      </c>
      <c r="M17" s="19" t="s">
        <v>452</v>
      </c>
      <c r="N17" s="69">
        <f>'Exh I - Allocators'!L$58</f>
        <v>0.17484006574717961</v>
      </c>
      <c r="O17" s="19">
        <f>G17*N17</f>
        <v>86275125.179586634</v>
      </c>
    </row>
    <row r="18" spans="1:15">
      <c r="A18" s="16">
        <f>IF(OR(ISNUMBER(K18),(ISNUMBER(O18))),MAX(A$11:A17)+1,"")</f>
        <v>5</v>
      </c>
      <c r="B18" s="16"/>
      <c r="C18" s="18" t="s">
        <v>104</v>
      </c>
      <c r="E18" s="19" t="s">
        <v>96</v>
      </c>
      <c r="G18" s="19">
        <f>'Exh II - Plant Data'!H20</f>
        <v>193842855</v>
      </c>
      <c r="H18" s="20"/>
      <c r="I18" s="19" t="s">
        <v>450</v>
      </c>
      <c r="J18" s="69">
        <f>'Exh I - Allocators'!L$57</f>
        <v>0.12410434478601609</v>
      </c>
      <c r="K18" s="19">
        <f>G18*J18</f>
        <v>24056740.511225723</v>
      </c>
      <c r="M18" s="19" t="s">
        <v>452</v>
      </c>
      <c r="N18" s="69">
        <f>'Exh I - Allocators'!L$58</f>
        <v>0.17484006574717961</v>
      </c>
      <c r="O18" s="19">
        <f>G18*N18</f>
        <v>33891497.512821004</v>
      </c>
    </row>
    <row r="19" spans="1:15">
      <c r="A19" s="16">
        <f>IF(OR(ISNUMBER(K19),(ISNUMBER(O19))),MAX(A$11:A18)+1,"")</f>
        <v>6</v>
      </c>
      <c r="B19" s="16"/>
      <c r="C19" s="21" t="s">
        <v>13</v>
      </c>
      <c r="E19" s="22" t="s">
        <v>440</v>
      </c>
      <c r="G19" s="25">
        <f>SUM(G14:G18)</f>
        <v>2811763800.3699999</v>
      </c>
      <c r="H19" s="20"/>
      <c r="I19" s="89" t="s">
        <v>456</v>
      </c>
      <c r="J19" s="90">
        <f>IF(G19&gt;0,K19/G19,0)</f>
        <v>0.1203768780650228</v>
      </c>
      <c r="K19" s="25">
        <f>SUM(K14:K18)</f>
        <v>338471348.14478457</v>
      </c>
      <c r="M19" s="89" t="s">
        <v>458</v>
      </c>
      <c r="N19" s="90">
        <f>IF(G19&gt;0,O19/G19,0)</f>
        <v>0.19489178907685914</v>
      </c>
      <c r="O19" s="25">
        <f>SUM(O14:O18)</f>
        <v>547989677.5156579</v>
      </c>
    </row>
    <row r="20" spans="1:15">
      <c r="A20" s="16" t="str">
        <f>IF(OR(ISNUMBER(K20),(ISNUMBER(O20))),MAX(A$11:A19)+1,"")</f>
        <v/>
      </c>
      <c r="B20" s="16"/>
      <c r="C20" s="18"/>
      <c r="E20" s="19"/>
      <c r="G20" s="19"/>
      <c r="H20" s="20"/>
      <c r="I20" s="19"/>
      <c r="J20" s="19"/>
      <c r="M20" s="19"/>
      <c r="N20" s="19"/>
    </row>
    <row r="21" spans="1:15">
      <c r="A21" s="16" t="str">
        <f>IF(OR(ISNUMBER(K21),(ISNUMBER(O21))),MAX(A$11:A20)+1,"")</f>
        <v/>
      </c>
      <c r="B21" s="16"/>
      <c r="C21" s="17" t="s">
        <v>14</v>
      </c>
      <c r="E21" s="20"/>
      <c r="G21" s="20"/>
      <c r="H21" s="20"/>
      <c r="I21" s="20"/>
      <c r="J21" s="20"/>
      <c r="M21" s="20"/>
      <c r="N21" s="20"/>
    </row>
    <row r="22" spans="1:15">
      <c r="A22" s="16">
        <f>IF(OR(ISNUMBER(K22),(ISNUMBER(O22))),MAX(A$11:A21)+1,"")</f>
        <v>7</v>
      </c>
      <c r="B22" s="16"/>
      <c r="C22" s="18" t="s">
        <v>10</v>
      </c>
      <c r="E22" s="19" t="s">
        <v>96</v>
      </c>
      <c r="G22" s="20">
        <f>'Exh II - Plant Data'!I34</f>
        <v>346166456.10000002</v>
      </c>
      <c r="H22" s="20"/>
      <c r="I22" s="19" t="s">
        <v>232</v>
      </c>
      <c r="J22" s="70">
        <v>0</v>
      </c>
      <c r="K22" s="19">
        <f>G22*J22</f>
        <v>0</v>
      </c>
      <c r="M22" s="19" t="s">
        <v>232</v>
      </c>
      <c r="N22" s="70">
        <v>0</v>
      </c>
      <c r="O22" s="19">
        <f>G22*N22</f>
        <v>0</v>
      </c>
    </row>
    <row r="23" spans="1:15">
      <c r="A23" s="16">
        <f>IF(OR(ISNUMBER(K23),(ISNUMBER(O23))),MAX(A$11:A22)+1,"")</f>
        <v>8</v>
      </c>
      <c r="B23" s="16"/>
      <c r="C23" s="18" t="s">
        <v>32</v>
      </c>
      <c r="E23" s="19" t="s">
        <v>96</v>
      </c>
      <c r="G23" s="20">
        <f>'Exh II - Plant Data'!I45</f>
        <v>97993391.504799992</v>
      </c>
      <c r="H23" s="20"/>
      <c r="I23" s="19" t="s">
        <v>46</v>
      </c>
      <c r="J23" s="69">
        <f>'Exh I - Allocators'!$L$18</f>
        <v>1</v>
      </c>
      <c r="K23" s="19">
        <f>G23*J23</f>
        <v>97993391.504799992</v>
      </c>
      <c r="M23" s="19" t="s">
        <v>232</v>
      </c>
      <c r="N23" s="70">
        <v>0</v>
      </c>
      <c r="O23" s="19">
        <f>G23*N23</f>
        <v>0</v>
      </c>
    </row>
    <row r="24" spans="1:15">
      <c r="A24" s="16">
        <f>IF(OR(ISNUMBER(K24),(ISNUMBER(O24))),MAX(A$11:A23)+1,"")</f>
        <v>9</v>
      </c>
      <c r="B24" s="16"/>
      <c r="C24" s="18" t="s">
        <v>437</v>
      </c>
      <c r="E24" s="19" t="s">
        <v>96</v>
      </c>
      <c r="G24" s="20">
        <f>'Exh II - Plant Data'!I60</f>
        <v>280599285.2899999</v>
      </c>
      <c r="H24" s="20"/>
      <c r="I24" s="19" t="s">
        <v>232</v>
      </c>
      <c r="J24" s="70">
        <v>0</v>
      </c>
      <c r="K24" s="19">
        <f>G24*J24</f>
        <v>0</v>
      </c>
      <c r="M24" s="19" t="s">
        <v>451</v>
      </c>
      <c r="N24" s="108">
        <f>'Exh I - Allocators'!L$45</f>
        <v>0.75547755852491538</v>
      </c>
      <c r="O24" s="19">
        <f>G24*N24</f>
        <v>211986462.97472534</v>
      </c>
    </row>
    <row r="25" spans="1:15">
      <c r="A25" s="16">
        <f>IF(OR(ISNUMBER(K25),(ISNUMBER(O25))),MAX(A$11:A24)+1,"")</f>
        <v>10</v>
      </c>
      <c r="B25" s="16"/>
      <c r="C25" s="18" t="s">
        <v>436</v>
      </c>
      <c r="E25" s="19" t="s">
        <v>96</v>
      </c>
      <c r="G25" s="20">
        <f>'Exh II - Plant Data'!I74</f>
        <v>230102636.74639994</v>
      </c>
      <c r="H25" s="20"/>
      <c r="I25" s="19" t="s">
        <v>450</v>
      </c>
      <c r="J25" s="69">
        <f>'Exh I - Allocators'!L$57</f>
        <v>0.12410434478601609</v>
      </c>
      <c r="K25" s="19">
        <f>G25*J25</f>
        <v>28556736.966946635</v>
      </c>
      <c r="M25" s="19" t="s">
        <v>452</v>
      </c>
      <c r="N25" s="69">
        <f>'Exh I - Allocators'!L$58</f>
        <v>0.17484006574717961</v>
      </c>
      <c r="O25" s="19">
        <f>G25*N25</f>
        <v>40231160.13733995</v>
      </c>
    </row>
    <row r="26" spans="1:15">
      <c r="A26" s="16">
        <f>IF(OR(ISNUMBER(K26),(ISNUMBER(O26))),MAX(A$11:A25)+1,"")</f>
        <v>11</v>
      </c>
      <c r="B26" s="16"/>
      <c r="C26" s="18" t="s">
        <v>104</v>
      </c>
      <c r="E26" s="19" t="s">
        <v>96</v>
      </c>
      <c r="G26" s="20">
        <f>'Exh II - Plant Data'!I20</f>
        <v>90122493</v>
      </c>
      <c r="H26" s="20"/>
      <c r="I26" s="19" t="s">
        <v>450</v>
      </c>
      <c r="J26" s="69">
        <f>'Exh I - Allocators'!L$57</f>
        <v>0.12410434478601609</v>
      </c>
      <c r="K26" s="19">
        <f>G26*J26</f>
        <v>11184592.944247322</v>
      </c>
      <c r="M26" s="19" t="s">
        <v>452</v>
      </c>
      <c r="N26" s="69">
        <f>'Exh I - Allocators'!L$58</f>
        <v>0.17484006574717961</v>
      </c>
      <c r="O26" s="19">
        <f>G26*N26</f>
        <v>15757022.601419734</v>
      </c>
    </row>
    <row r="27" spans="1:15">
      <c r="A27" s="16">
        <f>IF(OR(ISNUMBER(K27),(ISNUMBER(O27))),MAX(A$11:A26)+1,"")</f>
        <v>12</v>
      </c>
      <c r="B27" s="16"/>
      <c r="C27" s="21" t="s">
        <v>15</v>
      </c>
      <c r="E27" s="22" t="s">
        <v>441</v>
      </c>
      <c r="G27" s="25">
        <f>SUM(G22:G26)</f>
        <v>1044984262.6411998</v>
      </c>
      <c r="H27" s="20"/>
      <c r="I27" s="20"/>
      <c r="J27" s="20"/>
      <c r="K27" s="25">
        <f>SUM(K22:K26)</f>
        <v>137734721.41599396</v>
      </c>
      <c r="M27" s="20"/>
      <c r="N27" s="20"/>
      <c r="O27" s="25">
        <f>SUM(O22:O26)</f>
        <v>267974645.71348503</v>
      </c>
    </row>
    <row r="28" spans="1:15">
      <c r="A28" s="16" t="str">
        <f>IF(OR(ISNUMBER(K28),(ISNUMBER(O28))),MAX(A$11:A27)+1,"")</f>
        <v/>
      </c>
      <c r="B28" s="16"/>
      <c r="C28" s="18"/>
      <c r="E28" s="20"/>
      <c r="G28" s="20"/>
      <c r="H28" s="20"/>
      <c r="I28" s="20"/>
      <c r="J28" s="20"/>
      <c r="M28" s="20"/>
      <c r="N28" s="20"/>
    </row>
    <row r="29" spans="1:15">
      <c r="A29" s="16" t="str">
        <f>IF(OR(ISNUMBER(K29),(ISNUMBER(O29))),MAX(A$11:A28)+1,"")</f>
        <v/>
      </c>
      <c r="B29" s="16"/>
      <c r="C29" s="17" t="s">
        <v>16</v>
      </c>
      <c r="E29" s="20"/>
      <c r="G29" s="19"/>
      <c r="H29" s="20"/>
      <c r="I29" s="19"/>
      <c r="J29" s="19"/>
      <c r="M29" s="19"/>
      <c r="N29" s="19"/>
    </row>
    <row r="30" spans="1:15">
      <c r="A30" s="16">
        <f>IF(OR(ISNUMBER(K30),(ISNUMBER(O30))),MAX(A$11:A29)+1,"")</f>
        <v>13</v>
      </c>
      <c r="B30" s="16"/>
      <c r="C30" s="18" t="s">
        <v>10</v>
      </c>
      <c r="E30" s="20" t="s">
        <v>222</v>
      </c>
      <c r="G30" s="19">
        <f>G14-G22</f>
        <v>958832838.54999983</v>
      </c>
      <c r="H30" s="20"/>
      <c r="I30" s="19"/>
      <c r="J30" s="19"/>
      <c r="K30" s="19">
        <f>K14-K22</f>
        <v>0</v>
      </c>
      <c r="M30" s="19"/>
      <c r="N30" s="19"/>
      <c r="O30" s="19">
        <f>O14-O22</f>
        <v>0</v>
      </c>
    </row>
    <row r="31" spans="1:15">
      <c r="A31" s="16">
        <f>IF(OR(ISNUMBER(K31),(ISNUMBER(O31))),MAX(A$11:A30)+1,"")</f>
        <v>14</v>
      </c>
      <c r="B31" s="16"/>
      <c r="C31" s="18" t="s">
        <v>32</v>
      </c>
      <c r="E31" s="20" t="s">
        <v>223</v>
      </c>
      <c r="G31" s="19">
        <f t="shared" ref="G31:G34" si="0">G15-G23</f>
        <v>155181717.98519999</v>
      </c>
      <c r="H31" s="20"/>
      <c r="I31" s="19"/>
      <c r="J31" s="19"/>
      <c r="K31" s="19">
        <f t="shared" ref="K31:K34" si="1">K15-K23</f>
        <v>155181717.98519999</v>
      </c>
      <c r="M31" s="19"/>
      <c r="N31" s="19"/>
      <c r="O31" s="19">
        <f t="shared" ref="O31:O34" si="2">O15-O23</f>
        <v>0</v>
      </c>
    </row>
    <row r="32" spans="1:15">
      <c r="A32" s="16">
        <f>IF(OR(ISNUMBER(K32),(ISNUMBER(O32))),MAX(A$11:A31)+1,"")</f>
        <v>15</v>
      </c>
      <c r="B32" s="16"/>
      <c r="C32" s="18" t="s">
        <v>437</v>
      </c>
      <c r="E32" s="20" t="s">
        <v>224</v>
      </c>
      <c r="G32" s="19">
        <f t="shared" si="0"/>
        <v>285695570.19000024</v>
      </c>
      <c r="H32" s="20"/>
      <c r="I32" s="20"/>
      <c r="J32" s="20"/>
      <c r="K32" s="19">
        <f t="shared" si="1"/>
        <v>0</v>
      </c>
      <c r="M32" s="20"/>
      <c r="N32" s="20"/>
      <c r="O32" s="19">
        <f>O16-O24</f>
        <v>215836591.84852496</v>
      </c>
    </row>
    <row r="33" spans="1:15">
      <c r="A33" s="16">
        <f>IF(OR(ISNUMBER(K33),(ISNUMBER(O33))),MAX(A$11:A32)+1,"")</f>
        <v>16</v>
      </c>
      <c r="B33" s="16"/>
      <c r="C33" s="18" t="s">
        <v>436</v>
      </c>
      <c r="E33" s="20" t="s">
        <v>225</v>
      </c>
      <c r="G33" s="19">
        <f t="shared" si="0"/>
        <v>263349049.00360018</v>
      </c>
      <c r="H33" s="20"/>
      <c r="I33" s="20"/>
      <c r="J33" s="20"/>
      <c r="K33" s="19">
        <f t="shared" si="1"/>
        <v>32682761.176612239</v>
      </c>
      <c r="M33" s="20"/>
      <c r="N33" s="20"/>
      <c r="O33" s="19">
        <f t="shared" si="2"/>
        <v>46043965.042246684</v>
      </c>
    </row>
    <row r="34" spans="1:15">
      <c r="A34" s="16">
        <f>IF(OR(ISNUMBER(K34),(ISNUMBER(O34))),MAX(A$11:A33)+1,"")</f>
        <v>17</v>
      </c>
      <c r="B34" s="16"/>
      <c r="C34" s="18" t="s">
        <v>104</v>
      </c>
      <c r="E34" s="20" t="s">
        <v>226</v>
      </c>
      <c r="G34" s="19">
        <f t="shared" si="0"/>
        <v>103720362</v>
      </c>
      <c r="H34" s="20"/>
      <c r="I34" s="20"/>
      <c r="J34" s="20"/>
      <c r="K34" s="19">
        <f t="shared" si="1"/>
        <v>12872147.566978401</v>
      </c>
      <c r="M34" s="20"/>
      <c r="N34" s="20"/>
      <c r="O34" s="19">
        <f t="shared" si="2"/>
        <v>18134474.911401272</v>
      </c>
    </row>
    <row r="35" spans="1:15">
      <c r="A35" s="16">
        <f>IF(OR(ISNUMBER(K35),(ISNUMBER(O35))),MAX(A$11:A34)+1,"")</f>
        <v>18</v>
      </c>
      <c r="B35" s="16"/>
      <c r="C35" s="21" t="s">
        <v>17</v>
      </c>
      <c r="E35" s="22" t="s">
        <v>442</v>
      </c>
      <c r="G35" s="25">
        <f>SUM(G30:G34)</f>
        <v>1766779537.7288003</v>
      </c>
      <c r="H35" s="20"/>
      <c r="I35" s="89" t="s">
        <v>476</v>
      </c>
      <c r="J35" s="90">
        <f>IF(G35&gt;0,K35/G35,0)</f>
        <v>0.11361724677139858</v>
      </c>
      <c r="K35" s="25">
        <f>SUM(K30:K34)</f>
        <v>200736626.72879061</v>
      </c>
      <c r="M35" s="89" t="s">
        <v>475</v>
      </c>
      <c r="N35" s="90">
        <f>IF(G35&gt;0,O35/G35,0)</f>
        <v>0.15848894886010109</v>
      </c>
      <c r="O35" s="25">
        <f>SUM(O30:O34)</f>
        <v>280015031.8021729</v>
      </c>
    </row>
    <row r="36" spans="1:15">
      <c r="A36" s="16" t="str">
        <f>IF(OR(ISNUMBER(K36),(ISNUMBER(O36))),MAX(A$11:A35)+1,"")</f>
        <v/>
      </c>
      <c r="B36" s="16"/>
      <c r="E36" s="20"/>
      <c r="I36" s="20"/>
      <c r="M36" s="20"/>
      <c r="N36" s="2"/>
    </row>
    <row r="37" spans="1:15">
      <c r="A37" s="16">
        <f>IF(OR(ISNUMBER(K37),(ISNUMBER(O37))),MAX(A$11:A36)+1,"")</f>
        <v>19</v>
      </c>
      <c r="B37" s="16"/>
      <c r="C37" s="5" t="s">
        <v>33</v>
      </c>
      <c r="E37" s="19" t="s">
        <v>268</v>
      </c>
      <c r="G37" s="22">
        <f>'Exh IV - M&amp;S and Prepayments'!J18</f>
        <v>17842541.690000001</v>
      </c>
      <c r="H37" s="26"/>
      <c r="I37" s="19" t="s">
        <v>450</v>
      </c>
      <c r="J37" s="69">
        <f>'Exh I - Allocators'!L$57</f>
        <v>0.12410434478601609</v>
      </c>
      <c r="K37" s="19">
        <f>G37*J37</f>
        <v>2214336.9457546263</v>
      </c>
      <c r="M37" s="19" t="s">
        <v>452</v>
      </c>
      <c r="N37" s="69">
        <f>'Exh I - Allocators'!L$58</f>
        <v>0.17484006574717961</v>
      </c>
      <c r="O37" s="19">
        <f>G37*N37</f>
        <v>3119591.1621763934</v>
      </c>
    </row>
    <row r="38" spans="1:15">
      <c r="A38" s="16">
        <f>IF(OR(ISNUMBER(K38),(ISNUMBER(O38))),MAX(A$11:A37)+1,"")</f>
        <v>20</v>
      </c>
      <c r="B38" s="16"/>
      <c r="C38" s="5" t="s">
        <v>18</v>
      </c>
      <c r="E38" s="19" t="s">
        <v>268</v>
      </c>
      <c r="G38" s="22">
        <f>'Exh IV - M&amp;S and Prepayments'!J24</f>
        <v>1547584.93</v>
      </c>
      <c r="H38" s="26"/>
      <c r="I38" s="19" t="s">
        <v>615</v>
      </c>
      <c r="J38" s="81"/>
      <c r="K38" s="19">
        <f>'Exh IV - M&amp;S and Prepayments'!L24</f>
        <v>11107.017042610001</v>
      </c>
      <c r="M38" s="19" t="s">
        <v>615</v>
      </c>
      <c r="N38" s="81"/>
      <c r="O38" s="198">
        <v>0</v>
      </c>
    </row>
    <row r="39" spans="1:15">
      <c r="A39" s="16">
        <f>IF(OR(ISNUMBER(K39),(ISNUMBER(O39))),MAX(A$11:A38)+1,"")</f>
        <v>21</v>
      </c>
      <c r="B39" s="16"/>
      <c r="C39" s="5" t="s">
        <v>19</v>
      </c>
      <c r="E39" s="22" t="s">
        <v>248</v>
      </c>
      <c r="G39" s="19">
        <f>G59/8</f>
        <v>5092164.0649999995</v>
      </c>
      <c r="H39" s="26"/>
      <c r="I39" s="78" t="s">
        <v>250</v>
      </c>
      <c r="J39" s="22"/>
      <c r="K39" s="199">
        <f>K59/8</f>
        <v>1156900.7974242792</v>
      </c>
      <c r="L39" s="199"/>
      <c r="M39" s="200" t="s">
        <v>250</v>
      </c>
      <c r="N39" s="201"/>
      <c r="O39" s="199">
        <f>O59/8</f>
        <v>2139922.6784010786</v>
      </c>
    </row>
    <row r="40" spans="1:15">
      <c r="A40" s="16" t="str">
        <f>IF(OR(ISNUMBER(K40),(ISNUMBER(O40))),MAX(A$11:A39)+1,"")</f>
        <v/>
      </c>
      <c r="B40" s="16"/>
      <c r="C40" s="5"/>
      <c r="E40" s="22"/>
      <c r="G40" s="22"/>
      <c r="H40" s="26"/>
      <c r="I40" s="22"/>
      <c r="J40" s="22"/>
      <c r="K40" s="19"/>
      <c r="M40" s="22"/>
      <c r="N40" s="22"/>
      <c r="O40" s="19"/>
    </row>
    <row r="41" spans="1:15">
      <c r="A41" s="16">
        <f>IF(OR(ISNUMBER(K41),(ISNUMBER(O41))),MAX(A$11:A40)+1,"")</f>
        <v>22</v>
      </c>
      <c r="B41" s="16"/>
      <c r="C41" s="5" t="s">
        <v>20</v>
      </c>
      <c r="E41" s="22" t="s">
        <v>443</v>
      </c>
      <c r="G41" s="25">
        <f>G35+G37+G38+G39</f>
        <v>1791261828.4138005</v>
      </c>
      <c r="H41" s="20"/>
      <c r="I41" s="22"/>
      <c r="J41" s="20"/>
      <c r="K41" s="25">
        <f>K35+K37+K38+K39</f>
        <v>204118971.48901212</v>
      </c>
      <c r="M41" s="22"/>
      <c r="N41" s="20"/>
      <c r="O41" s="25">
        <f>O35+O37+O38+O39</f>
        <v>285274545.64275032</v>
      </c>
    </row>
    <row r="42" spans="1:15">
      <c r="A42" s="16" t="str">
        <f>IF(OR(ISNUMBER(K42),(ISNUMBER(O42))),MAX(A$11:A41)+1,"")</f>
        <v/>
      </c>
      <c r="B42" s="16"/>
      <c r="C42" s="5"/>
      <c r="E42" s="22"/>
      <c r="G42" s="20"/>
      <c r="H42" s="20"/>
      <c r="I42" s="22"/>
      <c r="J42" s="20"/>
      <c r="K42" s="20"/>
      <c r="M42" s="22"/>
      <c r="N42" s="20"/>
      <c r="O42" s="20"/>
    </row>
    <row r="43" spans="1:15">
      <c r="A43" s="16">
        <f>IF(OR(ISNUMBER(K43),(ISNUMBER(O43))),MAX(A$11:A42)+1,"")</f>
        <v>23</v>
      </c>
      <c r="B43" s="16"/>
      <c r="C43" s="1" t="s">
        <v>21</v>
      </c>
      <c r="D43" s="4"/>
      <c r="E43" s="19" t="s">
        <v>274</v>
      </c>
      <c r="F43" s="4"/>
      <c r="G43" s="28">
        <f>'Exh V - ROR'!$H$16</f>
        <v>6.0200000000000004E-2</v>
      </c>
      <c r="H43" s="29"/>
      <c r="I43" s="28"/>
      <c r="J43" s="28"/>
      <c r="K43" s="28">
        <f>'Exh V - ROR'!$H$16</f>
        <v>6.0200000000000004E-2</v>
      </c>
      <c r="M43" s="28"/>
      <c r="N43" s="28"/>
      <c r="O43" s="28">
        <f>'Exh V - ROR'!$H$16</f>
        <v>6.0200000000000004E-2</v>
      </c>
    </row>
    <row r="44" spans="1:15">
      <c r="A44" s="16">
        <f>IF(OR(ISNUMBER(K44),(ISNUMBER(O44))),MAX(A$11:A43)+1,"")</f>
        <v>24</v>
      </c>
      <c r="B44" s="16"/>
      <c r="C44" s="1" t="s">
        <v>22</v>
      </c>
      <c r="D44" s="4"/>
      <c r="E44" s="22" t="s">
        <v>286</v>
      </c>
      <c r="F44" s="4"/>
      <c r="G44" s="30">
        <f>G41*G43</f>
        <v>107833962.07051079</v>
      </c>
      <c r="H44" s="31"/>
      <c r="I44" s="30"/>
      <c r="J44" s="30"/>
      <c r="K44" s="30">
        <f>K41*K43</f>
        <v>12287962.08363853</v>
      </c>
      <c r="M44" s="30"/>
      <c r="N44" s="30"/>
      <c r="O44" s="30">
        <f>O41*O43</f>
        <v>17173527.647693571</v>
      </c>
    </row>
    <row r="45" spans="1:15">
      <c r="A45" s="16" t="str">
        <f>IF(OR(ISNUMBER(K45),(ISNUMBER(O45))),MAX(A$11:A44)+1,"")</f>
        <v/>
      </c>
      <c r="B45" s="16"/>
      <c r="E45" s="22"/>
      <c r="M45" s="2"/>
      <c r="N45" s="2"/>
    </row>
    <row r="46" spans="1:15">
      <c r="A46" s="16" t="str">
        <f>IF(OR(ISNUMBER(K46),(ISNUMBER(O46))),MAX(A$11:A45)+1,"")</f>
        <v/>
      </c>
      <c r="B46" s="16"/>
      <c r="C46" s="15" t="s">
        <v>23</v>
      </c>
      <c r="E46" s="22"/>
      <c r="M46" s="2"/>
      <c r="N46" s="2"/>
    </row>
    <row r="47" spans="1:15">
      <c r="A47" s="16" t="str">
        <f>IF(OR(ISNUMBER(K47),(ISNUMBER(O47))),MAX(A$11:A46)+1,"")</f>
        <v/>
      </c>
      <c r="B47" s="16"/>
      <c r="C47" s="5" t="s">
        <v>227</v>
      </c>
      <c r="E47" s="4"/>
      <c r="G47" s="4"/>
      <c r="H47" s="20"/>
      <c r="I47" s="19"/>
      <c r="J47" s="19"/>
      <c r="K47" s="19"/>
      <c r="M47" s="19"/>
      <c r="N47" s="19"/>
      <c r="O47" s="19"/>
    </row>
    <row r="48" spans="1:15">
      <c r="A48" s="16">
        <f>IF(OR(ISNUMBER(K48),(ISNUMBER(O48))),MAX(A$11:A47)+1,"")</f>
        <v>25</v>
      </c>
      <c r="B48" s="16"/>
      <c r="C48" s="18" t="s">
        <v>228</v>
      </c>
      <c r="E48" s="19" t="s">
        <v>221</v>
      </c>
      <c r="G48" s="19">
        <f>'Exh III - O&amp;M Expenses'!J29</f>
        <v>5378972.8499999996</v>
      </c>
      <c r="H48" s="20"/>
      <c r="I48" s="20" t="s">
        <v>249</v>
      </c>
      <c r="J48" s="69">
        <f>'Exh I - Allocators'!$L$27</f>
        <v>1</v>
      </c>
      <c r="K48" s="19">
        <f t="shared" ref="K48:K50" si="3">G48*J48</f>
        <v>5378972.8499999996</v>
      </c>
      <c r="M48" s="20" t="s">
        <v>232</v>
      </c>
      <c r="N48" s="70">
        <v>0</v>
      </c>
      <c r="O48" s="19">
        <f>G48*N48</f>
        <v>0</v>
      </c>
    </row>
    <row r="49" spans="1:15">
      <c r="A49" s="16">
        <f>IF(OR(ISNUMBER(K49),(ISNUMBER(O49))),MAX(A$11:A48)+1,"")</f>
        <v>26</v>
      </c>
      <c r="B49" s="16"/>
      <c r="C49" s="18" t="s">
        <v>439</v>
      </c>
      <c r="E49" s="19" t="s">
        <v>221</v>
      </c>
      <c r="G49" s="19">
        <f>'Exh III - O&amp;M Expenses'!J21</f>
        <v>572158.73</v>
      </c>
      <c r="H49" s="20"/>
      <c r="I49" s="20" t="s">
        <v>249</v>
      </c>
      <c r="J49" s="69">
        <f>'Exh I - Allocators'!$L$27</f>
        <v>1</v>
      </c>
      <c r="K49" s="19">
        <f t="shared" si="3"/>
        <v>572158.73</v>
      </c>
      <c r="M49" s="20" t="s">
        <v>232</v>
      </c>
      <c r="N49" s="70">
        <v>0</v>
      </c>
      <c r="O49" s="19">
        <f>G49*N49</f>
        <v>0</v>
      </c>
    </row>
    <row r="50" spans="1:15">
      <c r="A50" s="16">
        <f>IF(OR(ISNUMBER(K50),(ISNUMBER(O50))),MAX(A$11:A49)+1,"")</f>
        <v>27</v>
      </c>
      <c r="B50" s="16"/>
      <c r="C50" s="18" t="s">
        <v>479</v>
      </c>
      <c r="E50" s="19" t="s">
        <v>221</v>
      </c>
      <c r="G50" s="22">
        <f>'Exh III - O&amp;M Expenses'!J101</f>
        <v>14367116.550000001</v>
      </c>
      <c r="H50" s="20"/>
      <c r="I50" s="19" t="s">
        <v>232</v>
      </c>
      <c r="J50" s="70">
        <v>0</v>
      </c>
      <c r="K50" s="19">
        <f t="shared" si="3"/>
        <v>0</v>
      </c>
      <c r="M50" s="20" t="s">
        <v>455</v>
      </c>
      <c r="N50" s="69">
        <f>'Exh I - Allocators'!L46</f>
        <v>0.75547755852491538</v>
      </c>
      <c r="O50" s="19">
        <f>G50*N50</f>
        <v>10854034.134236906</v>
      </c>
    </row>
    <row r="51" spans="1:15">
      <c r="A51" s="16">
        <f>IF(OR(ISNUMBER(K51),(ISNUMBER(O51))),MAX(A$11:A50)+1,"")</f>
        <v>28</v>
      </c>
      <c r="B51" s="16"/>
      <c r="C51" s="21" t="s">
        <v>231</v>
      </c>
      <c r="E51" s="19" t="s">
        <v>291</v>
      </c>
      <c r="G51" s="25">
        <f>G48-G49</f>
        <v>4806814.1199999992</v>
      </c>
      <c r="H51" s="20"/>
      <c r="I51" s="20"/>
      <c r="J51" s="69"/>
      <c r="K51" s="25">
        <f>K48-K49+K50</f>
        <v>4806814.1199999992</v>
      </c>
      <c r="M51" s="20"/>
      <c r="N51" s="69"/>
      <c r="O51" s="25">
        <f>O48-O49+O50</f>
        <v>10854034.134236906</v>
      </c>
    </row>
    <row r="52" spans="1:15">
      <c r="A52" s="16" t="str">
        <f>IF(OR(ISNUMBER(K52),(ISNUMBER(O52))),MAX(A$11:A51)+1,"")</f>
        <v/>
      </c>
      <c r="B52" s="16"/>
      <c r="C52" s="33"/>
      <c r="E52" s="19"/>
      <c r="G52" s="19"/>
      <c r="H52" s="20"/>
      <c r="I52" s="19"/>
      <c r="J52" s="19"/>
      <c r="K52" s="19"/>
      <c r="M52" s="19"/>
      <c r="N52" s="19"/>
      <c r="O52" s="19"/>
    </row>
    <row r="53" spans="1:15">
      <c r="A53" s="16" t="str">
        <f>IF(OR(ISNUMBER(K53),(ISNUMBER(O53))),MAX(A$11:A52)+1,"")</f>
        <v/>
      </c>
      <c r="B53" s="16"/>
      <c r="C53" s="5" t="s">
        <v>230</v>
      </c>
      <c r="E53" s="4"/>
      <c r="G53" s="19"/>
      <c r="H53" s="20"/>
      <c r="I53" s="19"/>
      <c r="J53" s="19"/>
      <c r="K53" s="19"/>
      <c r="M53" s="19"/>
      <c r="N53" s="19"/>
      <c r="O53" s="19"/>
    </row>
    <row r="54" spans="1:15">
      <c r="A54" s="16">
        <f>IF(OR(ISNUMBER(K54),(ISNUMBER(O54))),MAX(A$11:A53)+1,"")</f>
        <v>29</v>
      </c>
      <c r="B54" s="16"/>
      <c r="C54" s="18" t="s">
        <v>229</v>
      </c>
      <c r="E54" s="19" t="s">
        <v>221</v>
      </c>
      <c r="G54" s="19">
        <f>'Exh III - O&amp;M Expenses'!J83</f>
        <v>35930498.399999999</v>
      </c>
      <c r="H54" s="20"/>
      <c r="I54" s="19" t="s">
        <v>450</v>
      </c>
      <c r="J54" s="69">
        <f>'Exh I - Allocators'!L$57</f>
        <v>0.12410434478601609</v>
      </c>
      <c r="K54" s="19">
        <f>G54*J54</f>
        <v>4459130.9617669992</v>
      </c>
      <c r="M54" s="19" t="s">
        <v>452</v>
      </c>
      <c r="N54" s="69">
        <f>'Exh I - Allocators'!L$58</f>
        <v>0.17484006574717961</v>
      </c>
      <c r="O54" s="19">
        <f>G54*N54</f>
        <v>6282090.7025849316</v>
      </c>
    </row>
    <row r="55" spans="1:15">
      <c r="A55" s="16">
        <f>IF(OR(ISNUMBER(K55),(ISNUMBER(O55))),MAX(A$11:A54)+1,"")</f>
        <v>30</v>
      </c>
      <c r="B55" s="16"/>
      <c r="C55" s="18" t="s">
        <v>438</v>
      </c>
      <c r="E55" s="19" t="s">
        <v>221</v>
      </c>
      <c r="G55" s="19">
        <f>'Exh III - O&amp;M Expenses'!J42+'Exh III - O&amp;M Expenses'!J43+'Exh III - O&amp;M Expenses'!J44+'Exh III - O&amp;M Expenses'!J68</f>
        <v>1023991.8</v>
      </c>
      <c r="H55" s="20"/>
      <c r="I55" s="19" t="s">
        <v>450</v>
      </c>
      <c r="J55" s="69">
        <f>'Exh I - Allocators'!L$57</f>
        <v>0.12410434478601609</v>
      </c>
      <c r="K55" s="19">
        <f>G55*J55</f>
        <v>127081.83140525324</v>
      </c>
      <c r="M55" s="19" t="s">
        <v>452</v>
      </c>
      <c r="N55" s="69">
        <f>'Exh I - Allocators'!L$58</f>
        <v>0.17484006574717961</v>
      </c>
      <c r="O55" s="19">
        <f>G55*N55</f>
        <v>179034.79363657281</v>
      </c>
    </row>
    <row r="56" spans="1:15">
      <c r="A56" s="16">
        <f>IF(OR(ISNUMBER(K56),(ISNUMBER(O56))),MAX(A$11:A55)+1,"")</f>
        <v>31</v>
      </c>
      <c r="B56" s="16"/>
      <c r="C56" s="18" t="s">
        <v>254</v>
      </c>
      <c r="E56" s="19" t="s">
        <v>221</v>
      </c>
      <c r="G56" s="19">
        <f>'Exh III - O&amp;M Expenses'!J42+'Exh III - O&amp;M Expenses'!J43+'Exh III - O&amp;M Expenses'!J44+'Exh III - O&amp;M Expenses'!J68</f>
        <v>1023991.8</v>
      </c>
      <c r="H56" s="20"/>
      <c r="I56" s="19" t="s">
        <v>478</v>
      </c>
      <c r="J56" s="81">
        <f>$J$35</f>
        <v>0.11361724677139858</v>
      </c>
      <c r="K56" s="19">
        <f>G56*J56</f>
        <v>116343.12903248862</v>
      </c>
      <c r="M56" s="19" t="s">
        <v>477</v>
      </c>
      <c r="N56" s="81">
        <f>$N$35</f>
        <v>0.15848894886010109</v>
      </c>
      <c r="O56" s="19">
        <f>G56*N56</f>
        <v>162291.38402336289</v>
      </c>
    </row>
    <row r="57" spans="1:15">
      <c r="A57" s="16">
        <f>IF(OR(ISNUMBER(K57),(ISNUMBER(O57))),MAX(A$11:A56)+1,"")</f>
        <v>32</v>
      </c>
      <c r="B57" s="16"/>
      <c r="C57" s="21" t="s">
        <v>192</v>
      </c>
      <c r="E57" s="19" t="s">
        <v>341</v>
      </c>
      <c r="G57" s="25">
        <f>G54-G55+G56</f>
        <v>35930498.399999999</v>
      </c>
      <c r="H57" s="20"/>
      <c r="I57" s="19"/>
      <c r="J57" s="19"/>
      <c r="K57" s="25">
        <f>K54-K55+K56</f>
        <v>4448392.259394235</v>
      </c>
      <c r="M57" s="19"/>
      <c r="N57" s="19"/>
      <c r="O57" s="25">
        <f>O54-O55+O56</f>
        <v>6265347.2929717219</v>
      </c>
    </row>
    <row r="58" spans="1:15">
      <c r="A58" s="16" t="str">
        <f>IF(OR(ISNUMBER(K58),(ISNUMBER(O58))),MAX(A$11:A57)+1,"")</f>
        <v/>
      </c>
      <c r="B58" s="16"/>
      <c r="C58" s="68"/>
      <c r="E58" s="19"/>
      <c r="G58" s="20"/>
      <c r="H58" s="20"/>
      <c r="I58" s="19"/>
      <c r="J58" s="19"/>
      <c r="K58" s="20"/>
      <c r="M58" s="19"/>
      <c r="N58" s="19"/>
      <c r="O58" s="20"/>
    </row>
    <row r="59" spans="1:15">
      <c r="A59" s="16">
        <f>IF(OR(ISNUMBER(K59),(ISNUMBER(O59))),MAX(A$11:A58)+1,"")</f>
        <v>33</v>
      </c>
      <c r="B59" s="16"/>
      <c r="C59" s="21" t="s">
        <v>258</v>
      </c>
      <c r="E59" s="19" t="s">
        <v>342</v>
      </c>
      <c r="G59" s="25">
        <f>G51+G57</f>
        <v>40737312.519999996</v>
      </c>
      <c r="H59" s="20"/>
      <c r="I59" s="19"/>
      <c r="J59" s="19"/>
      <c r="K59" s="25">
        <f>K51+K57</f>
        <v>9255206.3793942332</v>
      </c>
      <c r="M59" s="19"/>
      <c r="N59" s="19"/>
      <c r="O59" s="25">
        <f>O51+O57</f>
        <v>17119381.427208629</v>
      </c>
    </row>
    <row r="60" spans="1:15">
      <c r="A60" s="16" t="str">
        <f>IF(OR(ISNUMBER(K60),(ISNUMBER(O60))),MAX(A$11:A59)+1,"")</f>
        <v/>
      </c>
      <c r="B60" s="16"/>
      <c r="C60" s="18"/>
      <c r="E60" s="19"/>
      <c r="G60" s="19"/>
      <c r="H60" s="20"/>
      <c r="I60" s="19"/>
      <c r="J60" s="19"/>
      <c r="K60" s="19"/>
      <c r="M60" s="19"/>
      <c r="N60" s="19"/>
      <c r="O60" s="19"/>
    </row>
    <row r="61" spans="1:15">
      <c r="A61" s="16" t="str">
        <f>IF(OR(ISNUMBER(K61),(ISNUMBER(O61))),MAX(A$11:A60)+1,"")</f>
        <v/>
      </c>
      <c r="B61" s="16"/>
      <c r="C61" s="5" t="s">
        <v>255</v>
      </c>
      <c r="E61" s="19"/>
      <c r="G61" s="19"/>
      <c r="H61" s="20"/>
      <c r="I61" s="19"/>
      <c r="J61" s="19"/>
      <c r="K61" s="19"/>
      <c r="M61" s="19"/>
      <c r="N61" s="19"/>
      <c r="O61" s="19"/>
    </row>
    <row r="62" spans="1:15">
      <c r="A62" s="16">
        <f>IF(OR(ISNUMBER(K62),(ISNUMBER(O62))),MAX(A$11:A61)+1,"")</f>
        <v>34</v>
      </c>
      <c r="B62" s="16"/>
      <c r="C62" s="18" t="s">
        <v>31</v>
      </c>
      <c r="E62" s="19" t="s">
        <v>96</v>
      </c>
      <c r="G62" s="19">
        <f>'Exh II - Plant Data'!L45</f>
        <v>6163759.9748000009</v>
      </c>
      <c r="H62" s="20"/>
      <c r="I62" s="19" t="s">
        <v>46</v>
      </c>
      <c r="J62" s="69">
        <f>'Exh I - Allocators'!$L$18</f>
        <v>1</v>
      </c>
      <c r="K62" s="19">
        <f>G62*J62</f>
        <v>6163759.9748000009</v>
      </c>
      <c r="M62" s="19" t="s">
        <v>232</v>
      </c>
      <c r="N62" s="70">
        <v>0</v>
      </c>
      <c r="O62" s="19">
        <f>G62*N62</f>
        <v>0</v>
      </c>
    </row>
    <row r="63" spans="1:15">
      <c r="A63" s="16">
        <f>IF(OR(ISNUMBER(K63),(ISNUMBER(O63))),MAX(A$11:A62)+1,"")</f>
        <v>35</v>
      </c>
      <c r="B63" s="16"/>
      <c r="C63" s="18" t="s">
        <v>256</v>
      </c>
      <c r="E63" s="19" t="s">
        <v>96</v>
      </c>
      <c r="G63" s="19">
        <f>'Exh II - Plant Data'!L74</f>
        <v>15374777.886399999</v>
      </c>
      <c r="H63" s="20"/>
      <c r="I63" s="19" t="s">
        <v>450</v>
      </c>
      <c r="J63" s="69">
        <f>'Exh I - Allocators'!L$57</f>
        <v>0.12410434478601609</v>
      </c>
      <c r="K63" s="19">
        <f>G63*J63</f>
        <v>1908076.7358222012</v>
      </c>
      <c r="M63" s="19" t="s">
        <v>452</v>
      </c>
      <c r="N63" s="69">
        <f>'Exh I - Allocators'!L$58</f>
        <v>0.17484006574717961</v>
      </c>
      <c r="O63" s="19">
        <f>G63*N63</f>
        <v>2688127.1765064592</v>
      </c>
    </row>
    <row r="64" spans="1:15">
      <c r="A64" s="16">
        <f>IF(OR(ISNUMBER(K64),(ISNUMBER(O64))),MAX(A$11:A63)+1,"")</f>
        <v>36</v>
      </c>
      <c r="B64" s="16"/>
      <c r="C64" s="18" t="s">
        <v>104</v>
      </c>
      <c r="E64" s="19" t="s">
        <v>96</v>
      </c>
      <c r="G64" s="19">
        <f>'Exh II - Plant Data'!L20</f>
        <v>6870440</v>
      </c>
      <c r="H64" s="20"/>
      <c r="I64" s="19" t="s">
        <v>450</v>
      </c>
      <c r="J64" s="69">
        <f>'Exh I - Allocators'!L$57</f>
        <v>0.12410434478601609</v>
      </c>
      <c r="K64" s="19">
        <f>G64*J64</f>
        <v>852651.45459163643</v>
      </c>
      <c r="M64" s="19" t="s">
        <v>452</v>
      </c>
      <c r="N64" s="69">
        <f>'Exh I - Allocators'!L$58</f>
        <v>0.17484006574717961</v>
      </c>
      <c r="O64" s="19">
        <f>G64*N64</f>
        <v>1201228.1813120528</v>
      </c>
    </row>
    <row r="65" spans="1:15">
      <c r="A65" s="16">
        <f>IF(OR(ISNUMBER(K65),(ISNUMBER(O65))),MAX(A$11:A64)+1,"")</f>
        <v>37</v>
      </c>
      <c r="B65" s="16"/>
      <c r="C65" s="18" t="s">
        <v>437</v>
      </c>
      <c r="E65" s="19" t="s">
        <v>96</v>
      </c>
      <c r="G65" s="22">
        <f>'Exh II - Plant Data'!L60</f>
        <v>18356080.549999993</v>
      </c>
      <c r="H65" s="20"/>
      <c r="I65" s="19" t="s">
        <v>232</v>
      </c>
      <c r="J65" s="69"/>
      <c r="K65" s="19"/>
      <c r="M65" s="19" t="s">
        <v>451</v>
      </c>
      <c r="N65" s="69">
        <f>'Exh I - Allocators'!L37</f>
        <v>0.75547755852491538</v>
      </c>
      <c r="O65" s="19">
        <f>G65*N65</f>
        <v>13867606.918000681</v>
      </c>
    </row>
    <row r="66" spans="1:15">
      <c r="A66" s="16">
        <f>IF(OR(ISNUMBER(K66),(ISNUMBER(O66))),MAX(A$11:A65)+1,"")</f>
        <v>38</v>
      </c>
      <c r="B66" s="16"/>
      <c r="C66" s="21" t="s">
        <v>257</v>
      </c>
      <c r="E66" s="19" t="s">
        <v>343</v>
      </c>
      <c r="G66" s="25">
        <f>SUM(G62:G65)</f>
        <v>46765058.411199994</v>
      </c>
      <c r="H66" s="20"/>
      <c r="I66" s="19"/>
      <c r="J66" s="19"/>
      <c r="K66" s="25">
        <f>SUM(K62:K65)</f>
        <v>8924488.1652138382</v>
      </c>
      <c r="M66" s="19"/>
      <c r="N66" s="19"/>
      <c r="O66" s="25">
        <f>SUM(O62:O65)</f>
        <v>17756962.275819194</v>
      </c>
    </row>
    <row r="67" spans="1:15">
      <c r="A67" s="16" t="str">
        <f>IF(OR(ISNUMBER(K67),(ISNUMBER(O67))),MAX(A$11:A66)+1,"")</f>
        <v/>
      </c>
      <c r="B67" s="16"/>
      <c r="C67" s="33"/>
      <c r="E67" s="19"/>
      <c r="G67" s="19"/>
      <c r="H67" s="20"/>
      <c r="I67" s="19"/>
      <c r="J67" s="19"/>
      <c r="K67" s="19"/>
      <c r="M67" s="19"/>
      <c r="N67" s="19"/>
      <c r="O67" s="19"/>
    </row>
    <row r="68" spans="1:15">
      <c r="A68" s="16" t="str">
        <f>IF(OR(ISNUMBER(K68),(ISNUMBER(O68))),MAX(A$11:A67)+1,"")</f>
        <v/>
      </c>
      <c r="B68" s="16"/>
      <c r="C68" s="1" t="s">
        <v>292</v>
      </c>
      <c r="E68" s="22"/>
      <c r="G68" s="20"/>
      <c r="H68" s="20"/>
      <c r="I68" s="20"/>
      <c r="J68" s="20"/>
      <c r="K68" s="20"/>
      <c r="M68" s="20"/>
      <c r="N68" s="20"/>
      <c r="O68" s="20"/>
    </row>
    <row r="69" spans="1:15">
      <c r="A69" s="16">
        <f>IF(OR(ISNUMBER(K69),(ISNUMBER(O69))),MAX(A$11:A68)+1,"")</f>
        <v>39</v>
      </c>
      <c r="B69" s="16"/>
      <c r="C69" s="23" t="s">
        <v>326</v>
      </c>
      <c r="E69" s="19" t="s">
        <v>293</v>
      </c>
      <c r="G69" s="20">
        <f>'Exh VI - Other Taxes'!J38</f>
        <v>990419.28999999992</v>
      </c>
      <c r="H69" s="20"/>
      <c r="I69" s="20" t="s">
        <v>482</v>
      </c>
      <c r="J69" s="91">
        <f>$J$19</f>
        <v>0.1203768780650228</v>
      </c>
      <c r="K69" s="19">
        <f>G69*J69</f>
        <v>119223.58210557644</v>
      </c>
      <c r="M69" s="20" t="s">
        <v>457</v>
      </c>
      <c r="N69" s="91">
        <f>N19</f>
        <v>0.19489178907685914</v>
      </c>
      <c r="O69" s="19">
        <f>G69*N69</f>
        <v>193024.58736433258</v>
      </c>
    </row>
    <row r="70" spans="1:15">
      <c r="A70" s="16">
        <f>IF(OR(ISNUMBER(K70),(ISNUMBER(O70))),MAX(A$11:A69)+1,"")</f>
        <v>40</v>
      </c>
      <c r="B70" s="16"/>
      <c r="C70" s="23" t="s">
        <v>328</v>
      </c>
      <c r="E70" s="19" t="s">
        <v>293</v>
      </c>
      <c r="G70" s="20">
        <f>'Exh VI - Other Taxes'!K38</f>
        <v>0</v>
      </c>
      <c r="H70" s="20"/>
      <c r="I70" s="19" t="s">
        <v>450</v>
      </c>
      <c r="J70" s="69">
        <f>'Exh I - Allocators'!L$57</f>
        <v>0.12410434478601609</v>
      </c>
      <c r="K70" s="19">
        <f>G70*J70</f>
        <v>0</v>
      </c>
      <c r="M70" s="19" t="s">
        <v>452</v>
      </c>
      <c r="N70" s="69">
        <f>'Exh I - Allocators'!L$58</f>
        <v>0.17484006574717961</v>
      </c>
      <c r="O70" s="19">
        <f>G70*N70</f>
        <v>0</v>
      </c>
    </row>
    <row r="71" spans="1:15">
      <c r="A71" s="16">
        <f>IF(OR(ISNUMBER(K71),(ISNUMBER(O71))),MAX(A$11:A70)+1,"")</f>
        <v>41</v>
      </c>
      <c r="B71" s="16"/>
      <c r="C71" s="23" t="s">
        <v>335</v>
      </c>
      <c r="E71" s="19" t="s">
        <v>293</v>
      </c>
      <c r="G71" s="20">
        <f>'Exh VI - Other Taxes'!L38</f>
        <v>6035283.7300000014</v>
      </c>
      <c r="H71" s="20"/>
      <c r="I71" s="19" t="s">
        <v>232</v>
      </c>
      <c r="J71" s="70">
        <v>0</v>
      </c>
      <c r="K71" s="19">
        <f>G71*J71</f>
        <v>0</v>
      </c>
      <c r="M71" s="19" t="s">
        <v>232</v>
      </c>
      <c r="N71" s="70">
        <v>0</v>
      </c>
      <c r="O71" s="19">
        <f>G71*N71</f>
        <v>0</v>
      </c>
    </row>
    <row r="72" spans="1:15">
      <c r="A72" s="16">
        <f>IF(OR(ISNUMBER(K72),(ISNUMBER(O72))),MAX(A$11:A71)+1,"")</f>
        <v>42</v>
      </c>
      <c r="B72" s="16"/>
      <c r="C72" s="24" t="s">
        <v>336</v>
      </c>
      <c r="E72" s="19" t="s">
        <v>344</v>
      </c>
      <c r="G72" s="25">
        <f>SUM(G69:G71)</f>
        <v>7025703.0200000014</v>
      </c>
      <c r="H72" s="20"/>
      <c r="I72" s="19"/>
      <c r="J72" s="69"/>
      <c r="K72" s="25">
        <f>SUM(K69:K71)</f>
        <v>119223.58210557644</v>
      </c>
      <c r="M72" s="19"/>
      <c r="N72" s="69"/>
      <c r="O72" s="25">
        <f>SUM(O69:O71)</f>
        <v>193024.58736433258</v>
      </c>
    </row>
    <row r="73" spans="1:15">
      <c r="A73" s="16" t="str">
        <f>IF(OR(ISNUMBER(K73),(ISNUMBER(O73))),MAX(A$11:A72)+1,"")</f>
        <v/>
      </c>
      <c r="B73" s="16"/>
      <c r="C73" s="94"/>
      <c r="E73" s="19"/>
      <c r="G73" s="20"/>
      <c r="H73" s="20"/>
      <c r="I73" s="19"/>
      <c r="J73" s="69"/>
      <c r="K73" s="20"/>
      <c r="M73" s="19"/>
      <c r="N73" s="69"/>
      <c r="O73" s="20"/>
    </row>
    <row r="74" spans="1:15">
      <c r="A74" s="16" t="str">
        <f>IF(OR(ISNUMBER(K74),(ISNUMBER(O74))),MAX(A$11:A73)+1,"")</f>
        <v/>
      </c>
      <c r="B74" s="16"/>
      <c r="C74" s="1"/>
      <c r="E74" s="22"/>
      <c r="G74" s="20"/>
      <c r="H74" s="20"/>
      <c r="I74" s="20"/>
      <c r="J74" s="20"/>
      <c r="K74" s="20"/>
      <c r="M74" s="20"/>
      <c r="N74" s="20"/>
      <c r="O74" s="20"/>
    </row>
    <row r="75" spans="1:15">
      <c r="A75" s="16">
        <f>IF(OR(ISNUMBER(K75),(ISNUMBER(O75))),MAX(A$11:A74)+1,"")</f>
        <v>43</v>
      </c>
      <c r="B75" s="16"/>
      <c r="C75" s="96" t="s">
        <v>25</v>
      </c>
      <c r="E75" s="19" t="s">
        <v>345</v>
      </c>
      <c r="G75" s="25">
        <f>G59+G66+G72</f>
        <v>94528073.951199993</v>
      </c>
      <c r="H75" s="20"/>
      <c r="I75" s="20"/>
      <c r="J75" s="20"/>
      <c r="K75" s="25">
        <f>K59+K66+K72</f>
        <v>18298918.126713648</v>
      </c>
      <c r="M75" s="20"/>
      <c r="N75" s="20"/>
      <c r="O75" s="25">
        <f>O59+O66+O72</f>
        <v>35069368.290392153</v>
      </c>
    </row>
    <row r="76" spans="1:15">
      <c r="A76" s="16" t="str">
        <f>IF(OR(ISNUMBER(K76),(ISNUMBER(O76))),MAX(A$11:A75)+1,"")</f>
        <v/>
      </c>
      <c r="B76" s="16"/>
      <c r="C76" s="96"/>
      <c r="E76" s="19"/>
      <c r="G76" s="20"/>
      <c r="H76" s="20"/>
      <c r="I76" s="20"/>
      <c r="J76" s="20"/>
      <c r="K76" s="20"/>
      <c r="M76" s="20"/>
      <c r="N76" s="20"/>
      <c r="O76" s="20"/>
    </row>
    <row r="77" spans="1:15">
      <c r="A77" s="16">
        <f>IF(OR(ISNUMBER(K77),(ISNUMBER(O77))),MAX(A$11:A76)+1,"")</f>
        <v>44</v>
      </c>
      <c r="B77" s="16"/>
      <c r="C77" s="96" t="s">
        <v>480</v>
      </c>
      <c r="E77" s="19" t="s">
        <v>390</v>
      </c>
      <c r="G77" s="20"/>
      <c r="H77" s="20"/>
      <c r="I77" s="20"/>
      <c r="J77" s="20"/>
      <c r="K77" s="25">
        <f>K44+K75</f>
        <v>30586880.210352179</v>
      </c>
      <c r="M77" s="20"/>
      <c r="N77" s="20"/>
      <c r="O77" s="25">
        <f>O44+O75</f>
        <v>52242895.93808572</v>
      </c>
    </row>
    <row r="78" spans="1:15">
      <c r="A78" s="16" t="str">
        <f>IF(OR(ISNUMBER(K78),(ISNUMBER(O78))),MAX(A$11:A77)+1,"")</f>
        <v/>
      </c>
      <c r="B78" s="16"/>
      <c r="E78" s="22"/>
      <c r="I78" s="3"/>
      <c r="M78" s="3"/>
      <c r="N78" s="2"/>
    </row>
    <row r="79" spans="1:15">
      <c r="A79" s="16" t="str">
        <f>IF(OR(ISNUMBER(K79),(ISNUMBER(O79))),MAX(A$11:A78)+1,"")</f>
        <v/>
      </c>
      <c r="B79" s="16"/>
      <c r="C79" s="15" t="s">
        <v>26</v>
      </c>
      <c r="I79" s="3"/>
      <c r="M79" s="3"/>
      <c r="N79" s="2"/>
    </row>
    <row r="80" spans="1:15">
      <c r="A80" s="16" t="str">
        <f>IF(OR(ISNUMBER(K80),(ISNUMBER(O80))),MAX(A$11:A79)+1,"")</f>
        <v/>
      </c>
      <c r="B80" s="16"/>
      <c r="C80" s="1" t="s">
        <v>409</v>
      </c>
      <c r="D80" s="4"/>
      <c r="E80" s="22"/>
      <c r="F80" s="4"/>
      <c r="G80" s="22"/>
      <c r="H80" s="26"/>
      <c r="I80" s="26"/>
      <c r="J80" s="22"/>
      <c r="K80" s="22"/>
      <c r="M80" s="26"/>
      <c r="N80" s="22"/>
      <c r="O80" s="22"/>
    </row>
    <row r="81" spans="1:15">
      <c r="A81" s="16">
        <f>IF(OR(ISNUMBER(K81),(ISNUMBER(O81))),MAX(A$11:A80)+1,"")</f>
        <v>45</v>
      </c>
      <c r="B81" s="16"/>
      <c r="C81" s="23" t="s">
        <v>410</v>
      </c>
      <c r="D81" s="4"/>
      <c r="E81" s="19" t="s">
        <v>388</v>
      </c>
      <c r="F81" s="4"/>
      <c r="G81" s="22">
        <f>-'Exh VII - Rev Crd'!J18</f>
        <v>0</v>
      </c>
      <c r="H81" s="26"/>
      <c r="I81" s="108" t="s">
        <v>512</v>
      </c>
      <c r="J81" s="70">
        <v>1</v>
      </c>
      <c r="K81" s="19">
        <f>G81*J81</f>
        <v>0</v>
      </c>
      <c r="M81" s="108" t="s">
        <v>232</v>
      </c>
      <c r="N81" s="70">
        <v>0</v>
      </c>
      <c r="O81" s="19">
        <f>G81*N81</f>
        <v>0</v>
      </c>
    </row>
    <row r="82" spans="1:15">
      <c r="A82" s="16">
        <f>IF(OR(ISNUMBER(K82),(ISNUMBER(O82))),MAX(A$11:A81)+1,"")</f>
        <v>46</v>
      </c>
      <c r="B82" s="16"/>
      <c r="C82" s="23" t="s">
        <v>515</v>
      </c>
      <c r="D82" s="4"/>
      <c r="E82" s="19" t="s">
        <v>388</v>
      </c>
      <c r="F82" s="4"/>
      <c r="G82" s="26">
        <f>-'Exh VII - Rev Crd'!K18</f>
        <v>-2034465.2200000002</v>
      </c>
      <c r="H82" s="26"/>
      <c r="I82" s="108" t="s">
        <v>232</v>
      </c>
      <c r="J82" s="70">
        <v>0</v>
      </c>
      <c r="K82" s="19">
        <f>G82*J82</f>
        <v>0</v>
      </c>
      <c r="M82" s="108" t="s">
        <v>516</v>
      </c>
      <c r="N82" s="70">
        <v>1</v>
      </c>
      <c r="O82" s="19">
        <f>G82*N82</f>
        <v>-2034465.2200000002</v>
      </c>
    </row>
    <row r="83" spans="1:15">
      <c r="A83" s="16">
        <f>IF(OR(ISNUMBER(K83),(ISNUMBER(O83))),MAX(A$11:A82)+1,"")</f>
        <v>47</v>
      </c>
      <c r="B83" s="16"/>
      <c r="C83" s="23" t="s">
        <v>326</v>
      </c>
      <c r="E83" s="19" t="s">
        <v>388</v>
      </c>
      <c r="G83" s="20">
        <f>-'Exh VII - Rev Crd'!L18</f>
        <v>0</v>
      </c>
      <c r="H83" s="20"/>
      <c r="I83" s="20" t="s">
        <v>327</v>
      </c>
      <c r="J83" s="91">
        <f>$J$19</f>
        <v>0.1203768780650228</v>
      </c>
      <c r="K83" s="19">
        <f>G83*J83</f>
        <v>0</v>
      </c>
      <c r="M83" s="20" t="s">
        <v>327</v>
      </c>
      <c r="N83" s="91">
        <f>$J$19</f>
        <v>0.1203768780650228</v>
      </c>
      <c r="O83" s="19">
        <f>G83*N83</f>
        <v>0</v>
      </c>
    </row>
    <row r="84" spans="1:15">
      <c r="A84" s="16">
        <f>IF(OR(ISNUMBER(K84),(ISNUMBER(O84))),MAX(A$11:A83)+1,"")</f>
        <v>48</v>
      </c>
      <c r="B84" s="16"/>
      <c r="C84" s="23" t="s">
        <v>328</v>
      </c>
      <c r="E84" s="19" t="s">
        <v>388</v>
      </c>
      <c r="G84" s="20">
        <f>-'Exh VII - Rev Crd'!M18</f>
        <v>0</v>
      </c>
      <c r="H84" s="20"/>
      <c r="I84" s="19" t="s">
        <v>450</v>
      </c>
      <c r="J84" s="69">
        <f>'Exh I - Allocators'!L$57</f>
        <v>0.12410434478601609</v>
      </c>
      <c r="K84" s="19">
        <f>G84*J84</f>
        <v>0</v>
      </c>
      <c r="M84" s="19" t="s">
        <v>452</v>
      </c>
      <c r="N84" s="69">
        <f>'Exh I - Allocators'!L$58</f>
        <v>0.17484006574717961</v>
      </c>
      <c r="O84" s="19">
        <f>G84*N84</f>
        <v>0</v>
      </c>
    </row>
    <row r="85" spans="1:15">
      <c r="A85" s="16">
        <f>IF(OR(ISNUMBER(K85),(ISNUMBER(O85))),MAX(A$11:A84)+1,"")</f>
        <v>49</v>
      </c>
      <c r="B85" s="16"/>
      <c r="C85" s="23" t="s">
        <v>335</v>
      </c>
      <c r="E85" s="19" t="s">
        <v>388</v>
      </c>
      <c r="G85" s="20">
        <f>-'Exh VII - Rev Crd'!N18</f>
        <v>0</v>
      </c>
      <c r="H85" s="20"/>
      <c r="I85" s="19" t="s">
        <v>232</v>
      </c>
      <c r="J85" s="70">
        <v>0</v>
      </c>
      <c r="K85" s="19">
        <f>G85*J85</f>
        <v>0</v>
      </c>
      <c r="M85" s="19" t="s">
        <v>232</v>
      </c>
      <c r="N85" s="70">
        <v>0</v>
      </c>
      <c r="O85" s="19">
        <f>G85*N85</f>
        <v>0</v>
      </c>
    </row>
    <row r="86" spans="1:15">
      <c r="A86" s="16">
        <f>IF(OR(ISNUMBER(K86),(ISNUMBER(O86))),MAX(A$11:A85)+1,"")</f>
        <v>50</v>
      </c>
      <c r="B86" s="16"/>
      <c r="C86" s="24" t="s">
        <v>411</v>
      </c>
      <c r="D86" s="4"/>
      <c r="E86" s="22" t="s">
        <v>415</v>
      </c>
      <c r="F86" s="4"/>
      <c r="G86" s="27">
        <f>SUM(G81:G85)</f>
        <v>-2034465.2200000002</v>
      </c>
      <c r="H86" s="26"/>
      <c r="I86" s="26"/>
      <c r="J86" s="22"/>
      <c r="K86" s="27">
        <f>SUM(K81:K85)</f>
        <v>0</v>
      </c>
      <c r="M86" s="26"/>
      <c r="N86" s="22"/>
      <c r="O86" s="27">
        <f>SUM(O81:O85)</f>
        <v>-2034465.2200000002</v>
      </c>
    </row>
    <row r="87" spans="1:15">
      <c r="A87" s="16" t="str">
        <f>IF(OR(ISNUMBER(K87),(ISNUMBER(O87))),MAX(A$11:A86)+1,"")</f>
        <v/>
      </c>
      <c r="B87" s="16"/>
      <c r="C87" s="1"/>
      <c r="D87" s="4"/>
      <c r="E87" s="22"/>
      <c r="F87" s="4"/>
      <c r="G87" s="22"/>
      <c r="H87" s="26"/>
      <c r="I87" s="26"/>
      <c r="J87" s="22"/>
      <c r="K87" s="22"/>
      <c r="M87" s="26"/>
      <c r="N87" s="22"/>
      <c r="O87" s="22"/>
    </row>
    <row r="88" spans="1:15">
      <c r="A88" s="16">
        <f>IF(OR(ISNUMBER(K89),(ISNUMBER(O89))),MAX(A$11:A87)+1,"")</f>
        <v>51</v>
      </c>
      <c r="B88" s="16"/>
      <c r="C88" s="1" t="s">
        <v>412</v>
      </c>
      <c r="D88" s="4"/>
      <c r="E88" s="19"/>
      <c r="F88" s="4"/>
      <c r="G88" s="4"/>
      <c r="H88" s="26"/>
      <c r="I88" s="26"/>
      <c r="J88" s="4"/>
      <c r="K88" s="4"/>
      <c r="L88" s="4"/>
      <c r="O88" s="4"/>
    </row>
    <row r="89" spans="1:15">
      <c r="A89" s="16"/>
      <c r="B89" s="16"/>
      <c r="C89" s="18" t="s">
        <v>31</v>
      </c>
      <c r="D89" s="4"/>
      <c r="E89" s="19" t="s">
        <v>388</v>
      </c>
      <c r="F89" s="4"/>
      <c r="G89" s="22">
        <f>-'Exh VII - Rev Crd'!J25</f>
        <v>-390696</v>
      </c>
      <c r="H89" s="26"/>
      <c r="I89" s="26" t="s">
        <v>512</v>
      </c>
      <c r="J89" s="70">
        <v>1</v>
      </c>
      <c r="K89" s="19">
        <f>G89*J89</f>
        <v>-390696</v>
      </c>
      <c r="M89" s="26"/>
      <c r="N89" s="70">
        <v>0</v>
      </c>
      <c r="O89" s="19">
        <f>G89*N89</f>
        <v>0</v>
      </c>
    </row>
    <row r="90" spans="1:15">
      <c r="A90" s="16"/>
      <c r="B90" s="16"/>
      <c r="C90" s="18" t="s">
        <v>437</v>
      </c>
      <c r="D90" s="4"/>
      <c r="E90" s="19" t="s">
        <v>388</v>
      </c>
      <c r="F90" s="4"/>
      <c r="G90" s="22">
        <f>-'Exh VII - Rev Crd'!K25</f>
        <v>0</v>
      </c>
      <c r="H90" s="26"/>
      <c r="I90" s="26"/>
      <c r="J90" s="70"/>
      <c r="K90" s="19">
        <f>G90*J90</f>
        <v>0</v>
      </c>
      <c r="M90" s="26" t="s">
        <v>516</v>
      </c>
      <c r="N90" s="70">
        <v>1</v>
      </c>
      <c r="O90" s="19">
        <f>G90*N90</f>
        <v>0</v>
      </c>
    </row>
    <row r="91" spans="1:15">
      <c r="A91" s="16" t="str">
        <f>IF(OR(ISNUMBER(K91),(ISNUMBER(O91))),MAX(A$11:A88)+1,"")</f>
        <v/>
      </c>
      <c r="B91" s="16"/>
      <c r="C91" s="1"/>
      <c r="D91" s="4"/>
      <c r="E91" s="20"/>
      <c r="F91" s="4"/>
      <c r="G91" s="22"/>
      <c r="H91" s="26"/>
      <c r="I91" s="26"/>
      <c r="J91" s="22"/>
      <c r="K91" s="22"/>
      <c r="M91" s="26"/>
      <c r="N91" s="22"/>
      <c r="O91" s="22"/>
    </row>
    <row r="92" spans="1:15">
      <c r="A92" s="16">
        <f>IF(OR(ISNUMBER(K92),(ISNUMBER(O92))),MAX(A$11:A91)+1,"")</f>
        <v>52</v>
      </c>
      <c r="B92" s="16"/>
      <c r="C92" s="24" t="s">
        <v>27</v>
      </c>
      <c r="D92" s="4"/>
      <c r="E92" s="26"/>
      <c r="F92" s="4"/>
      <c r="G92" s="27">
        <f>G86+SUM(G89:G90)</f>
        <v>-2425161.2200000002</v>
      </c>
      <c r="H92" s="26"/>
      <c r="I92" s="26"/>
      <c r="J92" s="26"/>
      <c r="K92" s="27">
        <f>K86+SUM(K89:K90)</f>
        <v>-390696</v>
      </c>
      <c r="M92" s="26"/>
      <c r="N92" s="26"/>
      <c r="O92" s="27">
        <f>O86+SUM(O89:O90)</f>
        <v>-2034465.2200000002</v>
      </c>
    </row>
    <row r="93" spans="1:15">
      <c r="A93" s="16" t="str">
        <f>IF(OR(ISNUMBER(K93),(ISNUMBER(O93))),MAX(A$11:A92)+1,"")</f>
        <v/>
      </c>
      <c r="B93" s="16"/>
      <c r="C93" s="4"/>
      <c r="D93" s="4"/>
      <c r="E93" s="32"/>
      <c r="F93" s="4"/>
      <c r="G93" s="4"/>
      <c r="H93" s="32"/>
      <c r="I93" s="32"/>
      <c r="J93" s="4"/>
      <c r="K93" s="4"/>
      <c r="M93" s="32"/>
      <c r="O93" s="4"/>
    </row>
    <row r="94" spans="1:15">
      <c r="A94" s="16" t="str">
        <f>IF(OR(ISNUMBER(K94),(ISNUMBER(O94))),MAX(A$11:A93)+1,"")</f>
        <v/>
      </c>
      <c r="B94" s="16"/>
      <c r="C94" s="15" t="s">
        <v>433</v>
      </c>
      <c r="D94" s="4"/>
      <c r="E94" s="32"/>
      <c r="F94" s="4"/>
      <c r="G94" s="4"/>
      <c r="H94" s="32"/>
      <c r="I94" s="32"/>
      <c r="J94" s="4"/>
      <c r="K94" s="4"/>
      <c r="M94" s="32"/>
      <c r="O94" s="4"/>
    </row>
    <row r="95" spans="1:15">
      <c r="A95" s="16">
        <f>IF(OR(ISNUMBER(K95),(ISNUMBER(O95))),MAX(A$11:A94)+1,"")</f>
        <v>53</v>
      </c>
      <c r="B95" s="16"/>
      <c r="C95" s="96" t="s">
        <v>413</v>
      </c>
      <c r="D95" s="4"/>
      <c r="E95" s="26" t="s">
        <v>414</v>
      </c>
      <c r="F95" s="4"/>
      <c r="G95" s="34"/>
      <c r="H95" s="34"/>
      <c r="I95" s="34"/>
      <c r="J95" s="34"/>
      <c r="K95" s="131">
        <f>K77+K92</f>
        <v>30196184.210352179</v>
      </c>
      <c r="M95" s="34"/>
      <c r="N95" s="34"/>
      <c r="O95" s="131">
        <f>O77+O92</f>
        <v>50208430.718085721</v>
      </c>
    </row>
    <row r="96" spans="1:15">
      <c r="A96" s="16" t="str">
        <f>IF(ISNUMBER(K96),MAX(A$11:A95)+1,"")</f>
        <v/>
      </c>
      <c r="B96" s="16"/>
      <c r="C96" s="4"/>
      <c r="D96" s="4"/>
      <c r="E96" s="32"/>
      <c r="F96" s="4"/>
      <c r="G96" s="4"/>
      <c r="H96" s="4"/>
      <c r="I96" s="32"/>
      <c r="J96" s="4"/>
      <c r="K96" s="4"/>
      <c r="M96" s="32"/>
      <c r="O96" s="4"/>
    </row>
    <row r="97" spans="13:14">
      <c r="M97" s="2"/>
      <c r="N97" s="2"/>
    </row>
  </sheetData>
  <mergeCells count="4">
    <mergeCell ref="I6:K6"/>
    <mergeCell ref="M6:O6"/>
    <mergeCell ref="M8:N8"/>
    <mergeCell ref="I8:J8"/>
  </mergeCells>
  <printOptions horizontalCentered="1"/>
  <pageMargins left="0.5" right="0.5" top="0.5" bottom="0.5" header="0.25" footer="0.25"/>
  <pageSetup scale="65" orientation="portrait" horizontalDpi="1200" verticalDpi="1200" r:id="rId1"/>
  <headerFooter>
    <oddFooter>&amp;L&amp;F&amp;RPage &amp;P of &amp;N</oddFooter>
  </headerFooter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opLeftCell="A40" zoomScale="70" zoomScaleNormal="70" workbookViewId="0">
      <selection activeCell="J68" sqref="J68"/>
    </sheetView>
  </sheetViews>
  <sheetFormatPr defaultColWidth="9.08984375" defaultRowHeight="14"/>
  <cols>
    <col min="1" max="1" width="9.08984375" style="4" customWidth="1"/>
    <col min="2" max="2" width="1.6328125" style="4" customWidth="1"/>
    <col min="3" max="3" width="76.54296875" style="2" customWidth="1"/>
    <col min="4" max="4" width="2.6328125" style="3" customWidth="1"/>
    <col min="5" max="5" width="27.453125" style="2" customWidth="1"/>
    <col min="6" max="6" width="1.6328125" style="2" customWidth="1"/>
    <col min="7" max="8" width="14.08984375" style="2" customWidth="1"/>
    <col min="9" max="9" width="9.453125" style="2" customWidth="1"/>
    <col min="10" max="10" width="17" style="2" bestFit="1" customWidth="1"/>
    <col min="11" max="11" width="10.453125" style="179" bestFit="1" customWidth="1"/>
    <col min="12" max="12" width="18.36328125" style="2" bestFit="1" customWidth="1"/>
    <col min="13" max="13" width="1.6328125" style="3" customWidth="1"/>
    <col min="14" max="14" width="4.90625" style="2" bestFit="1" customWidth="1"/>
    <col min="15" max="15" width="16.54296875" style="2" bestFit="1" customWidth="1"/>
    <col min="16" max="16" width="32.54296875" style="4" bestFit="1" customWidth="1"/>
    <col min="17" max="17" width="12.54296875" style="4" bestFit="1" customWidth="1"/>
    <col min="18" max="16384" width="9.08984375" style="4"/>
  </cols>
  <sheetData>
    <row r="1" spans="1:14">
      <c r="A1" s="1" t="s">
        <v>0</v>
      </c>
      <c r="B1" s="1"/>
      <c r="N1" s="3"/>
    </row>
    <row r="2" spans="1:14">
      <c r="A2" s="1" t="str">
        <f>'Appendix B - COS'!A2</f>
        <v>Grant County Public Utility District</v>
      </c>
      <c r="B2" s="1"/>
      <c r="N2" s="3"/>
    </row>
    <row r="3" spans="1:14">
      <c r="A3" s="1" t="s">
        <v>42</v>
      </c>
      <c r="B3" s="1"/>
    </row>
    <row r="4" spans="1:14">
      <c r="A4" s="1" t="str">
        <f>'Appendix B - COS'!A4</f>
        <v>Fiscal Year Ending December 31, 2017</v>
      </c>
      <c r="B4" s="1"/>
    </row>
    <row r="5" spans="1:14">
      <c r="A5" s="1" t="str">
        <f>'Appendix B - COS'!A5</f>
        <v>Draft of June 19, 2019</v>
      </c>
      <c r="B5" s="1"/>
    </row>
    <row r="7" spans="1:14">
      <c r="A7" s="6"/>
      <c r="B7" s="6"/>
      <c r="C7" s="5"/>
      <c r="E7" s="4"/>
      <c r="J7" s="4"/>
      <c r="K7" s="180"/>
      <c r="L7" s="4"/>
      <c r="N7" s="10"/>
    </row>
    <row r="8" spans="1:14">
      <c r="A8" s="9" t="s">
        <v>43</v>
      </c>
      <c r="B8" s="9"/>
      <c r="E8" s="7"/>
      <c r="G8" s="7" t="s">
        <v>34</v>
      </c>
      <c r="H8" s="147"/>
      <c r="K8" s="181" t="s">
        <v>37</v>
      </c>
      <c r="L8" s="8"/>
      <c r="M8" s="10"/>
      <c r="N8" s="10"/>
    </row>
    <row r="9" spans="1:14" ht="14.5" thickBot="1">
      <c r="A9" s="11" t="s">
        <v>1</v>
      </c>
      <c r="B9" s="12"/>
      <c r="C9" s="13"/>
      <c r="E9" s="14" t="s">
        <v>36</v>
      </c>
      <c r="G9" s="14" t="s">
        <v>35</v>
      </c>
      <c r="H9" s="165"/>
      <c r="K9" s="182" t="s">
        <v>38</v>
      </c>
      <c r="L9" s="14" t="s">
        <v>39</v>
      </c>
      <c r="M9" s="10"/>
      <c r="N9" s="10"/>
    </row>
    <row r="10" spans="1:14">
      <c r="C10" s="7" t="s">
        <v>2</v>
      </c>
      <c r="E10" s="7" t="s">
        <v>3</v>
      </c>
      <c r="F10" s="10"/>
      <c r="G10" s="7" t="s">
        <v>4</v>
      </c>
      <c r="H10" s="147"/>
      <c r="I10" s="10"/>
      <c r="K10" s="17" t="s">
        <v>5</v>
      </c>
      <c r="L10" s="7" t="s">
        <v>6</v>
      </c>
      <c r="M10" s="4"/>
      <c r="N10" s="10"/>
    </row>
    <row r="11" spans="1:14">
      <c r="E11" s="7"/>
      <c r="J11" s="7"/>
      <c r="K11" s="17"/>
      <c r="L11" s="7"/>
      <c r="M11" s="10"/>
    </row>
    <row r="12" spans="1:14">
      <c r="C12" s="76" t="s">
        <v>242</v>
      </c>
      <c r="D12" s="71"/>
      <c r="E12" s="35"/>
      <c r="F12" s="35"/>
      <c r="G12" s="35"/>
      <c r="H12" s="35"/>
      <c r="I12" s="35"/>
      <c r="J12" s="35"/>
      <c r="K12" s="183"/>
      <c r="L12" s="35"/>
      <c r="M12" s="36"/>
      <c r="N12" s="36"/>
    </row>
    <row r="13" spans="1:14">
      <c r="A13" s="16">
        <f>IF(ISNUMBER(L13),MAX(A$11:A12)+1,"")</f>
        <v>1</v>
      </c>
      <c r="B13" s="16"/>
      <c r="C13" s="74" t="s">
        <v>252</v>
      </c>
      <c r="D13" s="71"/>
      <c r="E13" s="36" t="str">
        <f>"Appendix B - Line "&amp;'Appendix B - COS'!A15</f>
        <v>Appendix B - Line 2</v>
      </c>
      <c r="F13" s="36"/>
      <c r="G13" s="36"/>
      <c r="H13" s="36"/>
      <c r="I13" s="36"/>
      <c r="J13" s="36"/>
      <c r="K13" s="184"/>
      <c r="L13" s="37">
        <f>'Appendix B - COS'!G15</f>
        <v>253175109.48999998</v>
      </c>
      <c r="M13" s="36"/>
      <c r="N13" s="36"/>
    </row>
    <row r="14" spans="1:14">
      <c r="A14" s="16">
        <f>IF(ISNUMBER(L14),MAX(A$11:A13)+1,"")</f>
        <v>2</v>
      </c>
      <c r="B14" s="16"/>
      <c r="C14" s="74" t="s">
        <v>591</v>
      </c>
      <c r="D14" s="72"/>
      <c r="E14" s="38" t="s">
        <v>106</v>
      </c>
      <c r="F14" s="38"/>
      <c r="G14" s="38"/>
      <c r="H14" s="38"/>
      <c r="I14" s="38"/>
      <c r="J14" s="38"/>
      <c r="K14" s="185"/>
      <c r="L14" s="63">
        <v>0</v>
      </c>
      <c r="M14" s="36"/>
      <c r="N14" s="36"/>
    </row>
    <row r="15" spans="1:14">
      <c r="A15" s="16">
        <f>IF(ISNUMBER(L15),MAX(A$11:A14)+1,"")</f>
        <v>3</v>
      </c>
      <c r="B15" s="16"/>
      <c r="C15" s="162" t="s">
        <v>105</v>
      </c>
      <c r="D15" s="71"/>
      <c r="E15" s="40" t="s">
        <v>107</v>
      </c>
      <c r="F15" s="36"/>
      <c r="G15" s="36"/>
      <c r="H15" s="36"/>
      <c r="I15" s="36"/>
      <c r="J15" s="36"/>
      <c r="K15" s="184"/>
      <c r="L15" s="163">
        <v>0</v>
      </c>
      <c r="M15" s="36"/>
      <c r="N15" s="36"/>
    </row>
    <row r="16" spans="1:14">
      <c r="A16" s="16">
        <f>IF(ISNUMBER(L16),MAX(A$11:A15)+1,"")</f>
        <v>4</v>
      </c>
      <c r="B16" s="16"/>
      <c r="C16" s="77" t="s">
        <v>108</v>
      </c>
      <c r="D16" s="71"/>
      <c r="E16" s="36" t="s">
        <v>447</v>
      </c>
      <c r="F16" s="36"/>
      <c r="G16" s="36"/>
      <c r="H16" s="36"/>
      <c r="I16" s="36"/>
      <c r="J16" s="36"/>
      <c r="K16" s="184"/>
      <c r="L16" s="37">
        <f>L13-L14-L15</f>
        <v>253175109.48999998</v>
      </c>
      <c r="M16" s="36"/>
      <c r="N16" s="36"/>
    </row>
    <row r="17" spans="1:14">
      <c r="A17" s="16" t="str">
        <f>IF(ISNUMBER(L17),MAX(A$11:A16)+1,"")</f>
        <v/>
      </c>
      <c r="B17" s="16"/>
      <c r="C17" s="75"/>
      <c r="D17" s="71"/>
      <c r="E17" s="36"/>
      <c r="F17" s="36"/>
      <c r="G17" s="36"/>
      <c r="H17" s="36"/>
      <c r="I17" s="36"/>
      <c r="J17" s="36"/>
      <c r="K17" s="184"/>
      <c r="L17" s="38"/>
      <c r="M17" s="36"/>
      <c r="N17" s="36"/>
    </row>
    <row r="18" spans="1:14">
      <c r="A18" s="16">
        <f>IF(ISNUMBER(L18),MAX(A$11:A17)+1,"")</f>
        <v>5</v>
      </c>
      <c r="B18" s="16"/>
      <c r="C18" s="74" t="s">
        <v>251</v>
      </c>
      <c r="D18" s="73"/>
      <c r="E18" s="36" t="str">
        <f>"Line "&amp;A13&amp;" / Line "&amp;A16</f>
        <v>Line 1 / Line 4</v>
      </c>
      <c r="F18" s="42"/>
      <c r="G18" s="42"/>
      <c r="H18" s="42"/>
      <c r="I18" s="42"/>
      <c r="J18" s="42"/>
      <c r="K18" s="186" t="s">
        <v>44</v>
      </c>
      <c r="L18" s="79">
        <f>IF(L13&gt;0,L16/L13,0)</f>
        <v>1</v>
      </c>
      <c r="M18" s="36"/>
      <c r="N18" s="36"/>
    </row>
    <row r="19" spans="1:14">
      <c r="A19" s="16"/>
      <c r="B19" s="16"/>
      <c r="C19" s="74"/>
      <c r="D19" s="73"/>
      <c r="E19" s="42"/>
      <c r="F19" s="42"/>
      <c r="G19" s="42"/>
      <c r="H19" s="42"/>
      <c r="I19" s="42"/>
      <c r="J19" s="42"/>
      <c r="K19" s="186"/>
      <c r="L19" s="43"/>
      <c r="M19" s="36"/>
      <c r="N19" s="36"/>
    </row>
    <row r="20" spans="1:14">
      <c r="A20" s="16" t="str">
        <f>IF(ISNUMBER(L20),MAX(A$11:A19)+1,"")</f>
        <v/>
      </c>
      <c r="B20" s="16"/>
      <c r="C20" s="76" t="s">
        <v>243</v>
      </c>
      <c r="D20" s="72"/>
      <c r="E20" s="38"/>
      <c r="F20" s="38"/>
      <c r="G20" s="38"/>
      <c r="H20" s="38"/>
      <c r="I20" s="38"/>
      <c r="J20" s="38"/>
      <c r="K20" s="187"/>
      <c r="L20" s="38"/>
      <c r="M20" s="36"/>
      <c r="N20" s="36"/>
    </row>
    <row r="21" spans="1:14">
      <c r="A21" s="16">
        <f>IF(ISNUMBER(L21),MAX(A$11:A20)+1,"")</f>
        <v>6</v>
      </c>
      <c r="B21" s="16"/>
      <c r="C21" s="75" t="s">
        <v>233</v>
      </c>
      <c r="D21" s="72"/>
      <c r="E21" s="36" t="str">
        <f>"Appendix B - Line "&amp;'Appendix B - COS'!A48</f>
        <v>Appendix B - Line 25</v>
      </c>
      <c r="F21" s="35"/>
      <c r="G21" s="35"/>
      <c r="H21" s="35"/>
      <c r="I21" s="35"/>
      <c r="J21" s="35"/>
      <c r="K21" s="188"/>
      <c r="L21" s="37">
        <f>'Appendix B - COS'!G48</f>
        <v>5378972.8499999996</v>
      </c>
      <c r="M21" s="36"/>
      <c r="N21" s="36"/>
    </row>
    <row r="22" spans="1:14">
      <c r="A22" s="16">
        <f>IF(ISNUMBER(L22),MAX(A$11:A21)+1,"")</f>
        <v>7</v>
      </c>
      <c r="B22" s="16"/>
      <c r="C22" s="162" t="s">
        <v>237</v>
      </c>
      <c r="D22" s="71"/>
      <c r="E22" s="40" t="s">
        <v>234</v>
      </c>
      <c r="F22" s="40"/>
      <c r="G22" s="40"/>
      <c r="H22" s="40"/>
      <c r="I22" s="40"/>
      <c r="J22" s="36"/>
      <c r="K22" s="186"/>
      <c r="L22" s="161">
        <v>0</v>
      </c>
      <c r="M22" s="36"/>
      <c r="N22" s="36"/>
    </row>
    <row r="23" spans="1:14">
      <c r="A23" s="16">
        <f>IF(ISNUMBER(L23),MAX(A$11:A22)+1,"")</f>
        <v>8</v>
      </c>
      <c r="B23" s="16"/>
      <c r="C23" s="77" t="s">
        <v>45</v>
      </c>
      <c r="D23" s="73"/>
      <c r="E23" s="42" t="s">
        <v>448</v>
      </c>
      <c r="F23" s="42"/>
      <c r="G23" s="42"/>
      <c r="H23" s="42"/>
      <c r="I23" s="42"/>
      <c r="J23" s="42"/>
      <c r="K23" s="189"/>
      <c r="L23" s="37">
        <f>+L21-L22</f>
        <v>5378972.8499999996</v>
      </c>
      <c r="M23" s="36"/>
      <c r="N23" s="36"/>
    </row>
    <row r="24" spans="1:14">
      <c r="A24" s="16" t="str">
        <f>IF(ISNUMBER(L24),MAX(A$11:A23)+1,"")</f>
        <v/>
      </c>
      <c r="B24" s="16"/>
      <c r="C24" s="74"/>
      <c r="D24" s="71"/>
      <c r="E24" s="36"/>
      <c r="F24" s="36"/>
      <c r="G24" s="36"/>
      <c r="H24" s="36"/>
      <c r="I24" s="36"/>
      <c r="J24" s="36"/>
      <c r="K24" s="187"/>
      <c r="L24" s="38"/>
      <c r="M24" s="36"/>
      <c r="N24" s="36"/>
    </row>
    <row r="25" spans="1:14">
      <c r="A25" s="16">
        <f>IF(ISNUMBER(L25),MAX(A$11:A24)+1,"")</f>
        <v>9</v>
      </c>
      <c r="B25" s="16"/>
      <c r="C25" s="74" t="s">
        <v>239</v>
      </c>
      <c r="D25" s="71"/>
      <c r="E25" s="36" t="s">
        <v>253</v>
      </c>
      <c r="F25" s="36"/>
      <c r="G25" s="36"/>
      <c r="H25" s="36"/>
      <c r="I25" s="36"/>
      <c r="J25" s="36"/>
      <c r="K25" s="186"/>
      <c r="L25" s="45">
        <f>IF(L21&gt;0,L23/L21,0)</f>
        <v>1</v>
      </c>
      <c r="M25" s="36"/>
      <c r="N25" s="36"/>
    </row>
    <row r="26" spans="1:14">
      <c r="A26" s="16">
        <f>IF(ISNUMBER(L26),MAX(A$11:A25)+1,"")</f>
        <v>10</v>
      </c>
      <c r="B26" s="16"/>
      <c r="C26" s="74" t="s">
        <v>244</v>
      </c>
      <c r="D26" s="71"/>
      <c r="E26" s="36" t="s">
        <v>240</v>
      </c>
      <c r="F26" s="36"/>
      <c r="G26" s="36"/>
      <c r="H26" s="36"/>
      <c r="I26" s="36"/>
      <c r="J26" s="36"/>
      <c r="K26" s="183" t="s">
        <v>46</v>
      </c>
      <c r="L26" s="46">
        <f>L18</f>
        <v>1</v>
      </c>
      <c r="M26" s="36"/>
      <c r="N26" s="36"/>
    </row>
    <row r="27" spans="1:14">
      <c r="A27" s="16">
        <f>IF(ISNUMBER(L27),MAX(A$11:A26)+1,"")</f>
        <v>11</v>
      </c>
      <c r="B27" s="16"/>
      <c r="C27" s="74" t="s">
        <v>245</v>
      </c>
      <c r="D27" s="71"/>
      <c r="E27" s="35" t="s">
        <v>241</v>
      </c>
      <c r="F27" s="35"/>
      <c r="G27" s="35"/>
      <c r="H27" s="35"/>
      <c r="I27" s="35"/>
      <c r="J27" s="35"/>
      <c r="K27" s="188" t="s">
        <v>47</v>
      </c>
      <c r="L27" s="47">
        <f>+L26*L25</f>
        <v>1</v>
      </c>
      <c r="M27" s="36"/>
      <c r="N27" s="36"/>
    </row>
    <row r="28" spans="1:14">
      <c r="A28" s="16" t="str">
        <f>IF(ISNUMBER(L28),MAX(A$11:A27)+1,"")</f>
        <v/>
      </c>
      <c r="B28" s="16"/>
      <c r="C28" s="38"/>
      <c r="D28" s="71"/>
      <c r="E28" s="36"/>
      <c r="F28" s="36"/>
      <c r="G28" s="36"/>
      <c r="H28" s="36"/>
      <c r="I28" s="36"/>
      <c r="J28" s="36"/>
      <c r="K28" s="186"/>
      <c r="L28" s="38"/>
      <c r="M28" s="38"/>
      <c r="N28" s="38"/>
    </row>
    <row r="29" spans="1:14">
      <c r="A29" s="16" t="str">
        <f>IF(ISNUMBER(L29),MAX(A$11:A28)+1,"")</f>
        <v/>
      </c>
      <c r="B29" s="16"/>
      <c r="C29" s="38"/>
      <c r="D29" s="71"/>
      <c r="E29" s="36"/>
      <c r="F29" s="36"/>
      <c r="G29" s="36"/>
      <c r="H29" s="36"/>
      <c r="I29" s="36"/>
      <c r="J29" s="36"/>
      <c r="K29" s="186"/>
      <c r="L29" s="38"/>
      <c r="M29" s="38"/>
      <c r="N29" s="38"/>
    </row>
    <row r="30" spans="1:14">
      <c r="A30" s="16" t="str">
        <f>IF(ISNUMBER(L30),MAX(A$11:A29)+1,"")</f>
        <v/>
      </c>
      <c r="C30" s="76" t="s">
        <v>461</v>
      </c>
      <c r="D30" s="71"/>
      <c r="E30" s="35"/>
      <c r="F30" s="35"/>
      <c r="G30" s="35"/>
      <c r="H30" s="35"/>
      <c r="I30" s="35"/>
      <c r="J30" s="35"/>
      <c r="K30" s="183"/>
      <c r="L30" s="35"/>
      <c r="M30" s="36"/>
      <c r="N30" s="38"/>
    </row>
    <row r="31" spans="1:14">
      <c r="A31" s="16">
        <f>IF(ISNUMBER(L31),MAX(A$11:A30)+1,"")</f>
        <v>12</v>
      </c>
      <c r="B31" s="16"/>
      <c r="C31" s="74" t="s">
        <v>463</v>
      </c>
      <c r="D31" s="71"/>
      <c r="E31" s="36" t="str">
        <f>"Appendix B - Line "&amp;'Appendix B - COS'!A33</f>
        <v>Appendix B - Line 16</v>
      </c>
      <c r="F31" s="36"/>
      <c r="G31" s="36"/>
      <c r="H31" s="36"/>
      <c r="I31" s="36"/>
      <c r="J31" s="36"/>
      <c r="K31" s="184"/>
      <c r="L31" s="37">
        <f>'Appendix B - COS'!G33</f>
        <v>263349049.00360018</v>
      </c>
      <c r="M31" s="36"/>
      <c r="N31" s="38"/>
    </row>
    <row r="32" spans="1:14">
      <c r="A32" s="16">
        <f>IF(ISNUMBER(L32),MAX(A$11:A31)+1,"")</f>
        <v>13</v>
      </c>
      <c r="B32" s="16"/>
      <c r="C32" s="74" t="s">
        <v>592</v>
      </c>
      <c r="D32" s="71"/>
      <c r="E32" s="174" t="str">
        <f>"Line "&amp;A14</f>
        <v>Line 2</v>
      </c>
      <c r="F32" s="36"/>
      <c r="G32" s="36"/>
      <c r="H32" s="36"/>
      <c r="I32" s="36"/>
      <c r="J32" s="36"/>
      <c r="K32" s="184"/>
      <c r="L32" s="37">
        <f>-L14</f>
        <v>0</v>
      </c>
      <c r="M32" s="36"/>
      <c r="N32" s="38"/>
    </row>
    <row r="33" spans="1:14">
      <c r="A33" s="16">
        <f>IF(ISNUMBER(L33),MAX(A$11:A32)+1,"")</f>
        <v>14</v>
      </c>
      <c r="B33" s="16"/>
      <c r="C33" s="74" t="s">
        <v>464</v>
      </c>
      <c r="D33" s="72"/>
      <c r="E33" s="36" t="s">
        <v>593</v>
      </c>
      <c r="F33" s="38"/>
      <c r="G33" s="38"/>
      <c r="H33" s="38"/>
      <c r="I33" s="38"/>
      <c r="J33" s="38"/>
      <c r="K33" s="185"/>
      <c r="L33" s="176">
        <f>'Exh II - Plant Data'!J60-'Exh II - Plant Data'!S60</f>
        <v>64394752.422502011</v>
      </c>
      <c r="M33" s="36"/>
      <c r="N33" s="38"/>
    </row>
    <row r="34" spans="1:14">
      <c r="A34" s="16">
        <f>IF(ISNUMBER(L34),MAX(A$11:A33)+1,"")</f>
        <v>15</v>
      </c>
      <c r="B34" s="16"/>
      <c r="C34" s="162" t="s">
        <v>465</v>
      </c>
      <c r="D34" s="71"/>
      <c r="E34" s="40" t="s">
        <v>107</v>
      </c>
      <c r="F34" s="36"/>
      <c r="G34" s="36"/>
      <c r="H34" s="36"/>
      <c r="I34" s="36"/>
      <c r="J34" s="36"/>
      <c r="K34" s="184"/>
      <c r="L34" s="163">
        <v>0</v>
      </c>
      <c r="M34" s="36"/>
      <c r="N34" s="38"/>
    </row>
    <row r="35" spans="1:14">
      <c r="A35" s="16">
        <f>IF(ISNUMBER(L35),MAX(A$11:A34)+1,"")</f>
        <v>16</v>
      </c>
      <c r="B35" s="16"/>
      <c r="C35" s="77" t="s">
        <v>108</v>
      </c>
      <c r="D35" s="71"/>
      <c r="E35" s="36" t="s">
        <v>447</v>
      </c>
      <c r="F35" s="36"/>
      <c r="G35" s="36"/>
      <c r="H35" s="36"/>
      <c r="I35" s="36"/>
      <c r="J35" s="36"/>
      <c r="K35" s="184"/>
      <c r="L35" s="37">
        <f>L31-L33-L34</f>
        <v>198954296.58109817</v>
      </c>
      <c r="M35" s="36"/>
      <c r="N35" s="38"/>
    </row>
    <row r="36" spans="1:14">
      <c r="A36" s="16" t="str">
        <f>IF(ISNUMBER(L36),MAX(A$11:A35)+1,"")</f>
        <v/>
      </c>
      <c r="B36" s="16"/>
      <c r="C36" s="75"/>
      <c r="D36" s="71"/>
      <c r="E36" s="36"/>
      <c r="F36" s="36"/>
      <c r="G36" s="36"/>
      <c r="H36" s="36"/>
      <c r="I36" s="36"/>
      <c r="J36" s="36"/>
      <c r="K36" s="184"/>
      <c r="L36" s="38"/>
      <c r="M36" s="36"/>
      <c r="N36" s="38"/>
    </row>
    <row r="37" spans="1:14">
      <c r="A37" s="16">
        <f>IF(ISNUMBER(L37),MAX(A$11:A36)+1,"")</f>
        <v>17</v>
      </c>
      <c r="B37" s="16"/>
      <c r="C37" s="74" t="s">
        <v>473</v>
      </c>
      <c r="D37" s="73"/>
      <c r="E37" s="36" t="str">
        <f>"Line "&amp;A31&amp;" / Line "&amp;A35</f>
        <v>Line 12 / Line 16</v>
      </c>
      <c r="F37" s="42"/>
      <c r="G37" s="42"/>
      <c r="H37" s="42"/>
      <c r="I37" s="42"/>
      <c r="J37" s="42"/>
      <c r="K37" s="186" t="s">
        <v>474</v>
      </c>
      <c r="L37" s="79">
        <f>IF(L31&gt;0,L35/L31,0)</f>
        <v>0.75547755852491538</v>
      </c>
      <c r="M37" s="36"/>
      <c r="N37" s="38"/>
    </row>
    <row r="38" spans="1:14">
      <c r="A38" s="16" t="str">
        <f>IF(ISNUMBER(L38),MAX(A$11:A37)+1,"")</f>
        <v/>
      </c>
      <c r="B38" s="16"/>
      <c r="C38" s="74"/>
      <c r="D38" s="73"/>
      <c r="E38" s="42"/>
      <c r="F38" s="42"/>
      <c r="G38" s="42"/>
      <c r="H38" s="42"/>
      <c r="I38" s="42"/>
      <c r="J38" s="42"/>
      <c r="K38" s="186"/>
      <c r="L38" s="43"/>
      <c r="M38" s="36"/>
      <c r="N38" s="38"/>
    </row>
    <row r="39" spans="1:14">
      <c r="A39" s="16" t="str">
        <f>IF(ISNUMBER(L39),MAX(A$11:A38)+1,"")</f>
        <v/>
      </c>
      <c r="B39" s="16"/>
      <c r="C39" s="76" t="s">
        <v>462</v>
      </c>
      <c r="D39" s="72"/>
      <c r="E39" s="36"/>
      <c r="F39" s="38"/>
      <c r="G39" s="38"/>
      <c r="H39" s="38"/>
      <c r="I39" s="38"/>
      <c r="J39" s="38"/>
      <c r="K39" s="187"/>
      <c r="L39" s="38"/>
      <c r="M39" s="36"/>
      <c r="N39" s="38"/>
    </row>
    <row r="40" spans="1:14">
      <c r="A40" s="16">
        <f>IF(ISNUMBER(L40),MAX(A$11:A39)+1,"")</f>
        <v>18</v>
      </c>
      <c r="B40" s="16"/>
      <c r="C40" s="75" t="s">
        <v>466</v>
      </c>
      <c r="D40" s="72"/>
      <c r="E40" s="36" t="str">
        <f>"Appendix B - Line "&amp;'Appendix B - COS'!A50</f>
        <v>Appendix B - Line 27</v>
      </c>
      <c r="F40" s="35"/>
      <c r="G40" s="35"/>
      <c r="H40" s="35"/>
      <c r="I40" s="35"/>
      <c r="J40" s="35"/>
      <c r="K40" s="188"/>
      <c r="L40" s="37">
        <f>'Appendix B - COS'!G50</f>
        <v>14367116.550000001</v>
      </c>
      <c r="M40" s="36"/>
      <c r="N40" s="38"/>
    </row>
    <row r="41" spans="1:14">
      <c r="A41" s="16">
        <f>IF(ISNUMBER(L41),MAX(A$11:A40)+1,"")</f>
        <v>19</v>
      </c>
      <c r="B41" s="16"/>
      <c r="C41" s="162" t="s">
        <v>467</v>
      </c>
      <c r="D41" s="71"/>
      <c r="E41" s="40" t="s">
        <v>234</v>
      </c>
      <c r="F41" s="40"/>
      <c r="G41" s="40"/>
      <c r="H41" s="40"/>
      <c r="I41" s="40"/>
      <c r="J41" s="36"/>
      <c r="K41" s="186"/>
      <c r="L41" s="163">
        <v>0</v>
      </c>
      <c r="M41" s="36"/>
      <c r="N41" s="38"/>
    </row>
    <row r="42" spans="1:14">
      <c r="A42" s="16">
        <f>IF(ISNUMBER(L42),MAX(A$11:A41)+1,"")</f>
        <v>20</v>
      </c>
      <c r="B42" s="16"/>
      <c r="C42" s="77" t="s">
        <v>468</v>
      </c>
      <c r="D42" s="73"/>
      <c r="E42" s="36" t="str">
        <f>"Line "&amp;A40&amp;" - Line "&amp;A41</f>
        <v>Line 18 - Line 19</v>
      </c>
      <c r="F42" s="42"/>
      <c r="G42" s="42"/>
      <c r="H42" s="42"/>
      <c r="I42" s="42"/>
      <c r="J42" s="42"/>
      <c r="K42" s="189"/>
      <c r="L42" s="37">
        <f>+L40-L41</f>
        <v>14367116.550000001</v>
      </c>
      <c r="M42" s="36"/>
      <c r="N42" s="38"/>
    </row>
    <row r="43" spans="1:14">
      <c r="A43" s="16" t="str">
        <f>IF(ISNUMBER(L43),MAX(A$11:A42)+1,"")</f>
        <v/>
      </c>
      <c r="B43" s="16"/>
      <c r="C43" s="74"/>
      <c r="D43" s="71"/>
      <c r="E43" s="36"/>
      <c r="F43" s="36"/>
      <c r="G43" s="36"/>
      <c r="H43" s="36"/>
      <c r="I43" s="36"/>
      <c r="J43" s="36"/>
      <c r="K43" s="187"/>
      <c r="L43" s="38"/>
      <c r="M43" s="36"/>
      <c r="N43" s="38"/>
    </row>
    <row r="44" spans="1:14">
      <c r="A44" s="16">
        <f>IF(ISNUMBER(L44),MAX(A$11:A43)+1,"")</f>
        <v>21</v>
      </c>
      <c r="B44" s="16"/>
      <c r="C44" s="74" t="s">
        <v>469</v>
      </c>
      <c r="D44" s="71"/>
      <c r="E44" s="36" t="str">
        <f>"Line "&amp;A42&amp;" / Line "&amp;A40</f>
        <v>Line 20 / Line 18</v>
      </c>
      <c r="F44" s="36"/>
      <c r="G44" s="36"/>
      <c r="H44" s="36"/>
      <c r="I44" s="36"/>
      <c r="J44" s="36"/>
      <c r="K44" s="186"/>
      <c r="L44" s="45">
        <f>IF(L40&gt;0,L42/L40,0)</f>
        <v>1</v>
      </c>
      <c r="M44" s="36"/>
      <c r="N44" s="38"/>
    </row>
    <row r="45" spans="1:14">
      <c r="A45" s="16">
        <f>IF(ISNUMBER(L45),MAX(A$11:A44)+1,"")</f>
        <v>22</v>
      </c>
      <c r="B45" s="16"/>
      <c r="C45" s="74" t="s">
        <v>470</v>
      </c>
      <c r="D45" s="71"/>
      <c r="E45" s="174" t="str">
        <f>"Line "&amp;A37</f>
        <v>Line 17</v>
      </c>
      <c r="F45" s="36"/>
      <c r="G45" s="36"/>
      <c r="H45" s="36"/>
      <c r="I45" s="36"/>
      <c r="J45" s="36"/>
      <c r="K45" s="183" t="s">
        <v>451</v>
      </c>
      <c r="L45" s="46">
        <f>L37</f>
        <v>0.75547755852491538</v>
      </c>
      <c r="M45" s="36"/>
      <c r="N45" s="38"/>
    </row>
    <row r="46" spans="1:14">
      <c r="A46" s="16">
        <f>IF(ISNUMBER(L46),MAX(A$11:A45)+1,"")</f>
        <v>23</v>
      </c>
      <c r="B46" s="16"/>
      <c r="C46" s="74" t="s">
        <v>471</v>
      </c>
      <c r="D46" s="71"/>
      <c r="E46" s="36" t="str">
        <f>"Line "&amp;A45&amp;" * Line "&amp;A44</f>
        <v>Line 22 * Line 21</v>
      </c>
      <c r="F46" s="35"/>
      <c r="G46" s="35"/>
      <c r="H46" s="35"/>
      <c r="I46" s="35"/>
      <c r="J46" s="35"/>
      <c r="K46" s="188" t="s">
        <v>472</v>
      </c>
      <c r="L46" s="47">
        <f>+L45*L44</f>
        <v>0.75547755852491538</v>
      </c>
      <c r="M46" s="36"/>
      <c r="N46" s="38"/>
    </row>
    <row r="47" spans="1:14">
      <c r="A47" s="16" t="str">
        <f>IF(ISNUMBER(L47),MAX(A$11:A46)+1,"")</f>
        <v/>
      </c>
      <c r="B47" s="16"/>
      <c r="C47" s="38"/>
      <c r="D47" s="71"/>
      <c r="E47" s="36"/>
      <c r="F47" s="36"/>
      <c r="G47" s="36"/>
      <c r="H47" s="36"/>
      <c r="I47" s="36"/>
      <c r="J47" s="36"/>
      <c r="K47" s="186"/>
      <c r="L47" s="38"/>
      <c r="M47" s="38"/>
      <c r="N47" s="38"/>
    </row>
    <row r="48" spans="1:14">
      <c r="A48" s="16" t="str">
        <f>IF(ISNUMBER(L48),MAX(A$11:A47)+1,"")</f>
        <v/>
      </c>
      <c r="B48" s="16"/>
      <c r="C48" s="76" t="s">
        <v>535</v>
      </c>
      <c r="D48" s="71"/>
      <c r="E48" s="36"/>
      <c r="F48" s="36"/>
      <c r="G48" s="36"/>
      <c r="H48" s="36"/>
      <c r="I48" s="36"/>
      <c r="J48" s="36"/>
      <c r="K48" s="186"/>
      <c r="L48" s="38"/>
      <c r="M48" s="38"/>
      <c r="N48" s="38"/>
    </row>
    <row r="49" spans="1:14">
      <c r="A49" s="16">
        <f>IF(ISNUMBER(L49),MAX(A$11:A48)+1,"")</f>
        <v>24</v>
      </c>
      <c r="B49" s="16"/>
      <c r="C49" s="75" t="s">
        <v>536</v>
      </c>
      <c r="D49" s="71"/>
      <c r="E49" s="36" t="s">
        <v>593</v>
      </c>
      <c r="F49" s="36"/>
      <c r="G49" s="36"/>
      <c r="H49" s="36"/>
      <c r="I49" s="36"/>
      <c r="J49" s="36"/>
      <c r="K49" s="186"/>
      <c r="L49" s="177">
        <f>SUM('Exh II - Plant Data'!H48:H51)</f>
        <v>254795469.81000006</v>
      </c>
      <c r="M49" s="38"/>
      <c r="N49" s="38"/>
    </row>
    <row r="50" spans="1:14">
      <c r="A50" s="16">
        <f>IF(ISNUMBER(L50),MAX(A$11:A49)+1,"")</f>
        <v>25</v>
      </c>
      <c r="B50" s="16"/>
      <c r="C50" s="75" t="s">
        <v>537</v>
      </c>
      <c r="D50" s="71"/>
      <c r="E50" s="36" t="s">
        <v>593</v>
      </c>
      <c r="F50" s="36"/>
      <c r="G50" s="36"/>
      <c r="H50" s="36"/>
      <c r="I50" s="36"/>
      <c r="J50" s="36"/>
      <c r="K50" s="186"/>
      <c r="L50" s="177">
        <f>L49+SUM('Exh II - Plant Data'!H55:H58)</f>
        <v>369549321.45000005</v>
      </c>
      <c r="M50" s="38"/>
      <c r="N50" s="38"/>
    </row>
    <row r="51" spans="1:14">
      <c r="A51" s="16">
        <f>IF(ISNUMBER(L51),MAX(A$11:A50)+1,"")</f>
        <v>26</v>
      </c>
      <c r="B51" s="16"/>
      <c r="C51" s="75" t="s">
        <v>538</v>
      </c>
      <c r="D51" s="71"/>
      <c r="E51" s="36" t="str">
        <f>"Line "&amp;A49&amp;" / Line "&amp;A50</f>
        <v>Line 24 / Line 25</v>
      </c>
      <c r="F51" s="36"/>
      <c r="G51" s="36"/>
      <c r="H51" s="36"/>
      <c r="I51" s="36"/>
      <c r="J51" s="36"/>
      <c r="K51" s="186" t="s">
        <v>539</v>
      </c>
      <c r="L51" s="80">
        <f>L49/L50</f>
        <v>0.68947622149665844</v>
      </c>
      <c r="M51" s="38"/>
      <c r="N51" s="38"/>
    </row>
    <row r="52" spans="1:14">
      <c r="A52" s="16" t="str">
        <f>IF(ISNUMBER(L52),MAX(A$11:A50)+1,"")</f>
        <v/>
      </c>
      <c r="B52" s="16"/>
      <c r="C52" s="38"/>
      <c r="D52" s="71"/>
      <c r="E52" s="36"/>
      <c r="F52" s="36"/>
      <c r="G52" s="36"/>
      <c r="H52" s="36"/>
      <c r="I52" s="36"/>
      <c r="J52" s="36"/>
      <c r="K52" s="186"/>
      <c r="L52" s="38"/>
      <c r="M52" s="38"/>
      <c r="N52" s="38"/>
    </row>
    <row r="53" spans="1:14">
      <c r="A53" s="16"/>
      <c r="B53" s="16"/>
      <c r="C53" s="38"/>
      <c r="D53" s="71"/>
      <c r="E53" s="36"/>
      <c r="F53" s="36"/>
      <c r="G53" s="36"/>
      <c r="H53" s="36"/>
      <c r="I53" s="36"/>
      <c r="J53" s="36"/>
      <c r="K53" s="186"/>
      <c r="L53" s="38"/>
      <c r="M53" s="38"/>
      <c r="N53" s="38"/>
    </row>
    <row r="54" spans="1:14">
      <c r="A54" s="16"/>
      <c r="B54" s="16"/>
      <c r="C54" s="38"/>
      <c r="D54" s="71"/>
      <c r="E54" s="36"/>
      <c r="F54" s="36"/>
      <c r="G54" s="36"/>
      <c r="H54" s="36"/>
      <c r="I54" s="36"/>
      <c r="J54" s="36"/>
      <c r="K54" s="186"/>
      <c r="L54" s="49" t="s">
        <v>459</v>
      </c>
      <c r="M54" s="38"/>
      <c r="N54" s="38"/>
    </row>
    <row r="55" spans="1:14" ht="14.5" thickBot="1">
      <c r="A55" s="16" t="str">
        <f>IF(ISNUMBER(#REF!),MAX(A$11:A28)+1,"")</f>
        <v/>
      </c>
      <c r="B55" s="16"/>
      <c r="C55" s="76" t="s">
        <v>246</v>
      </c>
      <c r="D55" s="40"/>
      <c r="G55" s="48" t="s">
        <v>48</v>
      </c>
      <c r="H55" s="48" t="s">
        <v>596</v>
      </c>
      <c r="I55" s="48" t="s">
        <v>46</v>
      </c>
      <c r="J55" s="48" t="s">
        <v>453</v>
      </c>
      <c r="K55" s="184"/>
      <c r="L55" s="50" t="s">
        <v>50</v>
      </c>
      <c r="M55" s="38"/>
      <c r="N55" s="38"/>
    </row>
    <row r="56" spans="1:14">
      <c r="A56" s="16">
        <f>IF(ISNUMBER(G56),MAX(A$11:A55)+1,"")</f>
        <v>27</v>
      </c>
      <c r="B56" s="16"/>
      <c r="C56" s="74" t="s">
        <v>598</v>
      </c>
      <c r="D56" s="40"/>
      <c r="E56" s="2" t="s">
        <v>618</v>
      </c>
      <c r="G56" s="39">
        <v>20740568.649999797</v>
      </c>
      <c r="H56" s="175" t="s">
        <v>597</v>
      </c>
      <c r="I56" s="195">
        <v>0</v>
      </c>
      <c r="J56" s="191">
        <f>G56*I56</f>
        <v>0</v>
      </c>
      <c r="K56" s="184"/>
      <c r="L56" s="36"/>
      <c r="M56" s="36"/>
      <c r="N56" s="36"/>
    </row>
    <row r="57" spans="1:14">
      <c r="A57" s="16">
        <f>IF(ISNUMBER(G57),MAX(A$11:A56)+1,"")</f>
        <v>28</v>
      </c>
      <c r="B57" s="16"/>
      <c r="C57" s="74" t="s">
        <v>31</v>
      </c>
      <c r="D57" s="40"/>
      <c r="E57" s="2" t="s">
        <v>618</v>
      </c>
      <c r="G57" s="39">
        <v>5091509.7599999942</v>
      </c>
      <c r="H57" s="175" t="s">
        <v>534</v>
      </c>
      <c r="I57" s="194">
        <f>+L18</f>
        <v>1</v>
      </c>
      <c r="J57" s="191">
        <f>G57*I57</f>
        <v>5091509.7599999942</v>
      </c>
      <c r="K57" s="178" t="s">
        <v>594</v>
      </c>
      <c r="L57" s="80">
        <f>IF(J57&gt;0,J57/G60,0)</f>
        <v>0.12410434478601609</v>
      </c>
      <c r="M57" s="36"/>
      <c r="N57" s="36"/>
    </row>
    <row r="58" spans="1:14">
      <c r="A58" s="16">
        <f>IF(ISNUMBER(G58),MAX(A$11:A57)+1,"")</f>
        <v>29</v>
      </c>
      <c r="B58" s="16"/>
      <c r="C58" s="74" t="s">
        <v>437</v>
      </c>
      <c r="D58" s="40"/>
      <c r="E58" s="2" t="s">
        <v>618</v>
      </c>
      <c r="G58" s="39">
        <v>10403542.910000009</v>
      </c>
      <c r="H58" s="175" t="s">
        <v>540</v>
      </c>
      <c r="I58" s="193">
        <f>L51</f>
        <v>0.68947622149665844</v>
      </c>
      <c r="J58" s="191">
        <f>G58*I58</f>
        <v>7172995.455765157</v>
      </c>
      <c r="K58" s="178" t="s">
        <v>595</v>
      </c>
      <c r="L58" s="80">
        <f>IF(J58&gt;0,J58/G60,0)</f>
        <v>0.17484006574717961</v>
      </c>
      <c r="M58" s="36"/>
      <c r="N58" s="36"/>
    </row>
    <row r="59" spans="1:14" ht="14.5" thickBot="1">
      <c r="A59" s="16">
        <f>IF(ISNUMBER(G59),MAX(A$11:A58)+1,"")</f>
        <v>30</v>
      </c>
      <c r="B59" s="16"/>
      <c r="C59" s="74" t="s">
        <v>599</v>
      </c>
      <c r="D59" s="40"/>
      <c r="E59" s="2" t="s">
        <v>618</v>
      </c>
      <c r="G59" s="41">
        <f>4773849.25+16569</f>
        <v>4790418.25</v>
      </c>
      <c r="H59" s="175" t="s">
        <v>597</v>
      </c>
      <c r="I59" s="195">
        <v>0</v>
      </c>
      <c r="J59" s="192">
        <f>G59*I59</f>
        <v>0</v>
      </c>
      <c r="K59" s="184"/>
      <c r="L59" s="4"/>
      <c r="M59" s="36"/>
      <c r="N59" s="36"/>
    </row>
    <row r="60" spans="1:14">
      <c r="A60" s="16">
        <f>IF(ISNUMBER(G60),MAX(A$11:A59)+1,"")</f>
        <v>31</v>
      </c>
      <c r="B60" s="16"/>
      <c r="C60" s="77" t="s">
        <v>34</v>
      </c>
      <c r="D60" s="40"/>
      <c r="E60" s="2" t="s">
        <v>247</v>
      </c>
      <c r="G60" s="37">
        <f>SUM(G56:G59)</f>
        <v>41026039.569999799</v>
      </c>
      <c r="H60" s="37"/>
      <c r="I60" s="36"/>
      <c r="J60" s="37">
        <f>SUM(J56:J59)</f>
        <v>12264505.215765152</v>
      </c>
      <c r="K60" s="183" t="s">
        <v>51</v>
      </c>
      <c r="L60" s="4"/>
      <c r="M60" s="4"/>
      <c r="N60" s="4"/>
    </row>
    <row r="61" spans="1:14">
      <c r="A61" s="16" t="str">
        <f>IF(ISNUMBER(G61),MAX(A$11:A60)+1,"")</f>
        <v/>
      </c>
      <c r="B61" s="16"/>
      <c r="C61" s="44" t="s">
        <v>52</v>
      </c>
      <c r="D61" s="40" t="s">
        <v>52</v>
      </c>
      <c r="E61" s="38"/>
      <c r="F61" s="36"/>
      <c r="G61" s="36"/>
      <c r="H61" s="36"/>
      <c r="I61" s="36"/>
      <c r="J61" s="36"/>
      <c r="K61" s="185"/>
      <c r="L61" s="38"/>
      <c r="M61" s="38"/>
      <c r="N61" s="38"/>
    </row>
    <row r="62" spans="1:14">
      <c r="A62" s="16"/>
      <c r="B62" s="16"/>
      <c r="E62" s="20"/>
      <c r="J62" s="4"/>
      <c r="K62" s="190"/>
      <c r="L62" s="4"/>
      <c r="M62" s="32"/>
    </row>
    <row r="63" spans="1:14">
      <c r="A63" s="9" t="s">
        <v>112</v>
      </c>
    </row>
    <row r="64" spans="1:14">
      <c r="A64" s="9" t="s">
        <v>113</v>
      </c>
      <c r="C64" s="2" t="s">
        <v>114</v>
      </c>
    </row>
    <row r="65" spans="1:4">
      <c r="C65" s="2" t="s">
        <v>109</v>
      </c>
    </row>
    <row r="67" spans="1:4">
      <c r="A67" s="9" t="s">
        <v>115</v>
      </c>
      <c r="C67" s="2" t="s">
        <v>116</v>
      </c>
    </row>
    <row r="68" spans="1:4">
      <c r="C68" s="2" t="s">
        <v>110</v>
      </c>
    </row>
    <row r="69" spans="1:4">
      <c r="C69" s="2" t="s">
        <v>111</v>
      </c>
    </row>
    <row r="71" spans="1:4">
      <c r="A71" s="9" t="s">
        <v>235</v>
      </c>
      <c r="C71" s="2" t="s">
        <v>236</v>
      </c>
    </row>
    <row r="73" spans="1:4">
      <c r="A73" s="9" t="s">
        <v>446</v>
      </c>
      <c r="C73" s="2" t="s">
        <v>619</v>
      </c>
    </row>
    <row r="75" spans="1:4">
      <c r="A75" s="2"/>
      <c r="B75" s="2"/>
      <c r="D75" s="2"/>
    </row>
  </sheetData>
  <printOptions horizontalCentered="1"/>
  <pageMargins left="0.5" right="0.5" top="0.5" bottom="0.5" header="0.25" footer="0.25"/>
  <pageSetup scale="65" orientation="landscape" horizontalDpi="1200" verticalDpi="1200" r:id="rId1"/>
  <headerFooter>
    <oddFooter>&amp;L&amp;F&amp;RPage &amp;P of &amp;N</oddFooter>
  </headerFooter>
  <ignoredErrors>
    <ignoredError sqref="E31:E32 E21 E13 E18 E37 E42 E40 E44:E46 E51" unlockedFormula="1"/>
    <ignoredError sqref="L49:L5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"/>
  <sheetViews>
    <sheetView showGridLines="0" zoomScale="70" zoomScaleNormal="70" workbookViewId="0">
      <selection activeCell="F49" sqref="F49"/>
    </sheetView>
  </sheetViews>
  <sheetFormatPr defaultColWidth="9.08984375" defaultRowHeight="14.5"/>
  <cols>
    <col min="1" max="1" width="8.453125" style="51" customWidth="1"/>
    <col min="2" max="2" width="1.6328125" style="51" customWidth="1"/>
    <col min="3" max="3" width="9.08984375" style="51"/>
    <col min="4" max="4" width="36.90625" style="51" bestFit="1" customWidth="1"/>
    <col min="5" max="5" width="1.6328125" style="51" customWidth="1"/>
    <col min="6" max="6" width="42.36328125" style="51" bestFit="1" customWidth="1"/>
    <col min="7" max="7" width="1.6328125" style="52" customWidth="1"/>
    <col min="8" max="8" width="16.453125" style="51" bestFit="1" customWidth="1"/>
    <col min="9" max="9" width="17.453125" style="51" customWidth="1"/>
    <col min="10" max="10" width="16.453125" style="51" bestFit="1" customWidth="1"/>
    <col min="11" max="11" width="3.54296875" style="51" customWidth="1"/>
    <col min="12" max="12" width="16.6328125" style="51" customWidth="1"/>
    <col min="13" max="13" width="9.36328125" style="51" customWidth="1"/>
    <col min="14" max="14" width="11.6328125" style="51" bestFit="1" customWidth="1"/>
    <col min="15" max="15" width="13" style="62" bestFit="1" customWidth="1"/>
    <col min="16" max="16" width="5.08984375" style="144" customWidth="1"/>
    <col min="17" max="17" width="17.36328125" customWidth="1"/>
    <col min="18" max="18" width="18.453125" style="58" customWidth="1"/>
    <col min="19" max="19" width="16.36328125" style="58" customWidth="1"/>
    <col min="20" max="20" width="17" style="58" customWidth="1"/>
    <col min="21" max="21" width="1.6328125" style="51" customWidth="1"/>
    <col min="22" max="22" width="28.90625" style="51" customWidth="1"/>
    <col min="23" max="16384" width="9.08984375" style="51"/>
  </cols>
  <sheetData>
    <row r="1" spans="1:22">
      <c r="A1" s="1" t="s">
        <v>96</v>
      </c>
      <c r="B1" s="1"/>
    </row>
    <row r="2" spans="1:22">
      <c r="A2" s="1" t="str">
        <f>'Appendix B - COS'!$A$2</f>
        <v>Grant County Public Utility District</v>
      </c>
      <c r="B2" s="1"/>
    </row>
    <row r="3" spans="1:22">
      <c r="A3" s="1" t="s">
        <v>97</v>
      </c>
      <c r="B3" s="1"/>
    </row>
    <row r="4" spans="1:22">
      <c r="A4" s="1" t="str">
        <f>'Appendix B - COS'!$A$4</f>
        <v>Fiscal Year Ending December 31, 2017</v>
      </c>
      <c r="B4" s="1"/>
    </row>
    <row r="5" spans="1:22">
      <c r="A5" s="1" t="str">
        <f>'Appendix B - COS'!$A$5</f>
        <v>Draft of June 19, 2019</v>
      </c>
      <c r="B5" s="1"/>
    </row>
    <row r="6" spans="1:22">
      <c r="A6" s="1"/>
      <c r="B6" s="1"/>
    </row>
    <row r="7" spans="1:22" ht="14.4" customHeight="1">
      <c r="A7" s="4"/>
      <c r="B7" s="4"/>
      <c r="C7" s="53"/>
      <c r="D7" s="53"/>
      <c r="E7" s="53"/>
      <c r="F7" s="53"/>
      <c r="G7" s="54"/>
      <c r="H7" s="206" t="s">
        <v>333</v>
      </c>
      <c r="I7" s="206"/>
      <c r="J7" s="206"/>
      <c r="K7" s="206"/>
      <c r="L7" s="206"/>
      <c r="M7" s="53" t="s">
        <v>52</v>
      </c>
      <c r="N7" s="205" t="s">
        <v>217</v>
      </c>
      <c r="O7" s="205"/>
      <c r="P7" s="145"/>
      <c r="Q7" s="204" t="s">
        <v>518</v>
      </c>
      <c r="R7" s="204"/>
      <c r="S7" s="204"/>
      <c r="T7" s="204"/>
      <c r="U7" s="53"/>
    </row>
    <row r="8" spans="1:22" ht="14">
      <c r="A8" s="9" t="s">
        <v>43</v>
      </c>
      <c r="B8" s="9"/>
      <c r="C8" s="55" t="s">
        <v>94</v>
      </c>
      <c r="D8" s="55"/>
      <c r="E8" s="55"/>
      <c r="F8" s="55"/>
      <c r="G8" s="56"/>
      <c r="H8" s="55" t="s">
        <v>55</v>
      </c>
      <c r="I8" s="55" t="s">
        <v>56</v>
      </c>
      <c r="J8" s="55"/>
      <c r="K8" s="55"/>
      <c r="L8" s="55" t="s">
        <v>57</v>
      </c>
      <c r="M8" s="53"/>
      <c r="N8" s="53"/>
      <c r="O8" s="55" t="s">
        <v>513</v>
      </c>
      <c r="P8" s="92"/>
      <c r="Q8" s="55" t="s">
        <v>55</v>
      </c>
      <c r="R8" s="55" t="s">
        <v>56</v>
      </c>
      <c r="S8" s="142" t="s">
        <v>514</v>
      </c>
      <c r="T8" s="142" t="s">
        <v>57</v>
      </c>
      <c r="U8" s="53"/>
    </row>
    <row r="9" spans="1:22" thickBot="1">
      <c r="A9" s="11" t="s">
        <v>1</v>
      </c>
      <c r="B9" s="12"/>
      <c r="C9" s="57" t="s">
        <v>95</v>
      </c>
      <c r="D9" s="57" t="s">
        <v>53</v>
      </c>
      <c r="E9" s="55"/>
      <c r="F9" s="57" t="s">
        <v>54</v>
      </c>
      <c r="G9" s="56"/>
      <c r="H9" s="57" t="s">
        <v>98</v>
      </c>
      <c r="I9" s="57" t="s">
        <v>57</v>
      </c>
      <c r="J9" s="57" t="s">
        <v>58</v>
      </c>
      <c r="K9" s="55"/>
      <c r="L9" s="57" t="s">
        <v>59</v>
      </c>
      <c r="M9" s="53"/>
      <c r="N9" s="57" t="s">
        <v>37</v>
      </c>
      <c r="O9" s="57" t="s">
        <v>49</v>
      </c>
      <c r="P9" s="92"/>
      <c r="Q9" s="57" t="s">
        <v>98</v>
      </c>
      <c r="R9" s="57" t="s">
        <v>57</v>
      </c>
      <c r="S9" s="143" t="s">
        <v>329</v>
      </c>
      <c r="T9" s="143" t="s">
        <v>59</v>
      </c>
      <c r="U9" s="53"/>
      <c r="V9" s="57" t="s">
        <v>219</v>
      </c>
    </row>
    <row r="10" spans="1:22">
      <c r="A10" s="4"/>
      <c r="B10" s="4"/>
      <c r="C10" s="7" t="s">
        <v>2</v>
      </c>
      <c r="D10" s="7" t="s">
        <v>3</v>
      </c>
      <c r="F10" s="7" t="s">
        <v>4</v>
      </c>
      <c r="G10" s="51"/>
      <c r="H10" s="7" t="s">
        <v>5</v>
      </c>
      <c r="I10" s="7" t="s">
        <v>6</v>
      </c>
      <c r="J10" s="7" t="s">
        <v>7</v>
      </c>
      <c r="L10" s="7" t="s">
        <v>117</v>
      </c>
      <c r="V10" s="7" t="s">
        <v>118</v>
      </c>
    </row>
    <row r="11" spans="1:22">
      <c r="J11" s="62" t="s">
        <v>238</v>
      </c>
    </row>
    <row r="12" spans="1:22">
      <c r="J12" s="62"/>
    </row>
    <row r="13" spans="1:22">
      <c r="D13" s="53" t="s">
        <v>12</v>
      </c>
      <c r="H13" s="58"/>
      <c r="I13" s="58"/>
      <c r="J13" s="58"/>
      <c r="K13" s="58"/>
      <c r="L13" s="58"/>
    </row>
    <row r="14" spans="1:22" ht="14">
      <c r="A14" s="16">
        <f>IF(ISNUMBER(H14),MAX(A$11:A13)+1,"")</f>
        <v>1</v>
      </c>
      <c r="C14" s="51">
        <v>301</v>
      </c>
      <c r="D14" s="51" t="s">
        <v>60</v>
      </c>
      <c r="H14" s="61">
        <v>30373</v>
      </c>
      <c r="I14" s="158">
        <v>0</v>
      </c>
      <c r="J14" s="159">
        <f>H14-I14</f>
        <v>30373</v>
      </c>
      <c r="K14" s="58"/>
      <c r="L14" s="61"/>
      <c r="N14" s="51" t="s">
        <v>534</v>
      </c>
      <c r="O14" s="157">
        <v>1</v>
      </c>
      <c r="P14" s="146"/>
      <c r="Q14" s="58">
        <f>$O14*H14</f>
        <v>30373</v>
      </c>
      <c r="R14" s="58">
        <f>$O14*I14</f>
        <v>0</v>
      </c>
      <c r="S14" s="58">
        <f>$O14*J14</f>
        <v>30373</v>
      </c>
      <c r="T14" s="58">
        <f>$O14*L14</f>
        <v>0</v>
      </c>
    </row>
    <row r="15" spans="1:22">
      <c r="A15" s="16" t="str">
        <f>IF(ISNUMBER(H15),MAX(A$11:A14)+1,"")</f>
        <v/>
      </c>
      <c r="G15" s="51"/>
      <c r="H15" s="160"/>
      <c r="I15" s="159"/>
      <c r="J15" s="159"/>
    </row>
    <row r="16" spans="1:22" ht="14">
      <c r="A16" s="16">
        <f>IF(ISNUMBER(H16),MAX(A$11:A15)+1,"")</f>
        <v>2</v>
      </c>
      <c r="C16" s="51">
        <v>302</v>
      </c>
      <c r="D16" s="51" t="s">
        <v>61</v>
      </c>
      <c r="H16" s="61">
        <v>58906053</v>
      </c>
      <c r="I16" s="158">
        <v>21877556</v>
      </c>
      <c r="J16" s="159">
        <f>H16-I16</f>
        <v>37028497</v>
      </c>
      <c r="K16" s="58"/>
      <c r="L16" s="61">
        <v>2723104</v>
      </c>
      <c r="N16" s="51" t="s">
        <v>534</v>
      </c>
      <c r="O16" s="157">
        <v>1</v>
      </c>
      <c r="P16" s="146"/>
      <c r="Q16" s="58">
        <f>$O16*H16</f>
        <v>58906053</v>
      </c>
      <c r="R16" s="58">
        <f>$O16*I16</f>
        <v>21877556</v>
      </c>
      <c r="S16" s="58">
        <f>$O16*J16</f>
        <v>37028497</v>
      </c>
      <c r="T16" s="58">
        <f>$O16*L16</f>
        <v>2723104</v>
      </c>
    </row>
    <row r="17" spans="1:20">
      <c r="A17" s="16" t="str">
        <f>IF(ISNUMBER(H17),MAX(A$11:A16)+1,"")</f>
        <v/>
      </c>
      <c r="G17" s="51"/>
      <c r="H17" s="160"/>
      <c r="I17" s="159"/>
      <c r="J17" s="159"/>
    </row>
    <row r="18" spans="1:20" ht="14">
      <c r="A18" s="16">
        <f>IF(ISNUMBER(H18),MAX(A$11:A17)+1,"")</f>
        <v>3</v>
      </c>
      <c r="C18" s="51">
        <v>303</v>
      </c>
      <c r="D18" s="51" t="s">
        <v>62</v>
      </c>
      <c r="H18" s="61">
        <v>134906429</v>
      </c>
      <c r="I18" s="158">
        <v>68244937</v>
      </c>
      <c r="J18" s="159">
        <f>H18-I18</f>
        <v>66661492</v>
      </c>
      <c r="K18" s="58"/>
      <c r="L18" s="61">
        <v>4147336</v>
      </c>
      <c r="N18" s="51" t="s">
        <v>534</v>
      </c>
      <c r="O18" s="157">
        <v>1</v>
      </c>
      <c r="P18" s="146"/>
      <c r="Q18" s="58">
        <f>$O18*H18</f>
        <v>134906429</v>
      </c>
      <c r="R18" s="58">
        <f>$O18*I18</f>
        <v>68244937</v>
      </c>
      <c r="S18" s="58">
        <f>$O18*J18</f>
        <v>66661492</v>
      </c>
      <c r="T18" s="58">
        <f>$O18*L18</f>
        <v>4147336</v>
      </c>
    </row>
    <row r="19" spans="1:20">
      <c r="A19" s="16" t="str">
        <f>IF(ISNUMBER(H19),MAX(A$11:A18)+1,"")</f>
        <v/>
      </c>
      <c r="H19" s="58"/>
      <c r="I19" s="58"/>
      <c r="J19" s="58"/>
      <c r="K19" s="58"/>
      <c r="L19" s="58"/>
    </row>
    <row r="20" spans="1:20" ht="14">
      <c r="A20" s="16">
        <f>IF(ISNUMBER(H20),MAX(A$11:A19)+1,"")</f>
        <v>4</v>
      </c>
      <c r="D20" s="60" t="s">
        <v>99</v>
      </c>
      <c r="F20" s="51" t="str">
        <f>"Sum of Lines 1-"&amp;A18</f>
        <v>Sum of Lines 1-3</v>
      </c>
      <c r="H20" s="59">
        <f>SUM(H14:H19)</f>
        <v>193842855</v>
      </c>
      <c r="I20" s="59">
        <f>SUM(I14:I19)</f>
        <v>90122493</v>
      </c>
      <c r="J20" s="59">
        <f>SUM(J14:J19)</f>
        <v>103720362</v>
      </c>
      <c r="K20" s="58"/>
      <c r="L20" s="59">
        <f>SUM(L14:L19)</f>
        <v>6870440</v>
      </c>
      <c r="Q20" s="59">
        <f>SUM(Q14:Q19)</f>
        <v>193842855</v>
      </c>
      <c r="R20" s="59">
        <f>SUM(R14:R19)</f>
        <v>90122493</v>
      </c>
      <c r="S20" s="59">
        <f>SUM(S14:S19)</f>
        <v>103720362</v>
      </c>
      <c r="T20" s="59">
        <f>SUM(T14:T19)</f>
        <v>6870440</v>
      </c>
    </row>
    <row r="21" spans="1:20">
      <c r="A21" s="16" t="str">
        <f>IF(ISNUMBER(H21),MAX(A$11:A20)+1,"")</f>
        <v/>
      </c>
      <c r="H21" s="58"/>
      <c r="I21" s="58"/>
      <c r="J21" s="58"/>
      <c r="K21" s="58"/>
      <c r="L21" s="58"/>
    </row>
    <row r="22" spans="1:20">
      <c r="A22" s="16" t="str">
        <f>IF(ISNUMBER(H22),MAX(A$11:A21)+1,"")</f>
        <v/>
      </c>
      <c r="D22" s="53" t="s">
        <v>63</v>
      </c>
      <c r="H22" s="58"/>
      <c r="I22" s="58"/>
      <c r="J22" s="58"/>
      <c r="K22" s="58"/>
      <c r="L22" s="58"/>
    </row>
    <row r="23" spans="1:20" ht="14">
      <c r="A23" s="16">
        <f>IF(ISNUMBER(H23),MAX(A$11:A22)+1,"")</f>
        <v>5</v>
      </c>
      <c r="C23" s="51">
        <v>330</v>
      </c>
      <c r="D23" s="51" t="s">
        <v>64</v>
      </c>
      <c r="H23" s="61">
        <v>19692643.300000001</v>
      </c>
      <c r="I23" s="61">
        <v>0</v>
      </c>
      <c r="J23" s="58">
        <f t="shared" ref="J23:J29" si="0">H23-I23</f>
        <v>19692643.300000001</v>
      </c>
      <c r="K23" s="58"/>
      <c r="L23" s="61">
        <v>0</v>
      </c>
      <c r="N23" s="51" t="s">
        <v>232</v>
      </c>
      <c r="O23" s="157">
        <v>0</v>
      </c>
      <c r="P23" s="146"/>
      <c r="Q23" s="58">
        <f>$O23*H23</f>
        <v>0</v>
      </c>
      <c r="R23" s="58">
        <f>$O23*I23</f>
        <v>0</v>
      </c>
      <c r="S23" s="58">
        <f>$O23*J23</f>
        <v>0</v>
      </c>
      <c r="T23" s="58">
        <f t="shared" ref="T23:T29" si="1">$O23*L23</f>
        <v>0</v>
      </c>
    </row>
    <row r="24" spans="1:20" ht="14">
      <c r="A24" s="16">
        <f>IF(ISNUMBER(H24),MAX(A$11:A23)+1,"")</f>
        <v>6</v>
      </c>
      <c r="C24" s="51">
        <v>331</v>
      </c>
      <c r="D24" s="51" t="s">
        <v>65</v>
      </c>
      <c r="H24" s="61">
        <v>139054611.09999999</v>
      </c>
      <c r="I24" s="61">
        <v>22687885.979999997</v>
      </c>
      <c r="J24" s="58">
        <f t="shared" si="0"/>
        <v>116366725.12</v>
      </c>
      <c r="K24" s="58"/>
      <c r="L24" s="61">
        <v>2147260.1100000003</v>
      </c>
      <c r="N24" s="51" t="s">
        <v>232</v>
      </c>
      <c r="O24" s="157">
        <v>0</v>
      </c>
      <c r="P24" s="146"/>
      <c r="Q24" s="58">
        <f t="shared" ref="Q24:Q29" si="2">$O24*H24</f>
        <v>0</v>
      </c>
      <c r="R24" s="58">
        <f t="shared" ref="R24:R29" si="3">$O24*I24</f>
        <v>0</v>
      </c>
      <c r="S24" s="58">
        <f t="shared" ref="S24:S29" si="4">$O24*J24</f>
        <v>0</v>
      </c>
      <c r="T24" s="58">
        <f t="shared" si="1"/>
        <v>0</v>
      </c>
    </row>
    <row r="25" spans="1:20" ht="14">
      <c r="A25" s="16">
        <f>IF(ISNUMBER(H25),MAX(A$11:A24)+1,"")</f>
        <v>7</v>
      </c>
      <c r="C25" s="51">
        <v>332</v>
      </c>
      <c r="D25" s="51" t="s">
        <v>66</v>
      </c>
      <c r="H25" s="61">
        <v>508356796.70999998</v>
      </c>
      <c r="I25" s="61">
        <v>110021911.48</v>
      </c>
      <c r="J25" s="58">
        <f t="shared" si="0"/>
        <v>398334885.22999996</v>
      </c>
      <c r="K25" s="58"/>
      <c r="L25" s="61">
        <v>5056291.1800000006</v>
      </c>
      <c r="N25" s="51" t="s">
        <v>232</v>
      </c>
      <c r="O25" s="157">
        <v>0</v>
      </c>
      <c r="P25" s="146"/>
      <c r="Q25" s="58">
        <f t="shared" si="2"/>
        <v>0</v>
      </c>
      <c r="R25" s="58">
        <f t="shared" si="3"/>
        <v>0</v>
      </c>
      <c r="S25" s="58">
        <f t="shared" si="4"/>
        <v>0</v>
      </c>
      <c r="T25" s="58">
        <f t="shared" si="1"/>
        <v>0</v>
      </c>
    </row>
    <row r="26" spans="1:20" ht="14">
      <c r="A26" s="16">
        <f>IF(ISNUMBER(H26),MAX(A$11:A25)+1,"")</f>
        <v>8</v>
      </c>
      <c r="C26" s="51">
        <v>333</v>
      </c>
      <c r="D26" s="51" t="s">
        <v>67</v>
      </c>
      <c r="H26" s="61">
        <v>518989255.73999995</v>
      </c>
      <c r="I26" s="61">
        <v>155758447</v>
      </c>
      <c r="J26" s="58">
        <f t="shared" si="0"/>
        <v>363230808.73999995</v>
      </c>
      <c r="K26" s="58"/>
      <c r="L26" s="61">
        <v>9128413.1099999994</v>
      </c>
      <c r="N26" s="51" t="s">
        <v>232</v>
      </c>
      <c r="O26" s="157">
        <v>0</v>
      </c>
      <c r="P26" s="146"/>
      <c r="Q26" s="58">
        <f t="shared" si="2"/>
        <v>0</v>
      </c>
      <c r="R26" s="58">
        <f t="shared" si="3"/>
        <v>0</v>
      </c>
      <c r="S26" s="58">
        <f t="shared" si="4"/>
        <v>0</v>
      </c>
      <c r="T26" s="58">
        <f t="shared" si="1"/>
        <v>0</v>
      </c>
    </row>
    <row r="27" spans="1:20" ht="14">
      <c r="A27" s="16">
        <f>IF(ISNUMBER(H27),MAX(A$11:A26)+1,"")</f>
        <v>9</v>
      </c>
      <c r="C27" s="51">
        <v>334</v>
      </c>
      <c r="D27" s="51" t="s">
        <v>68</v>
      </c>
      <c r="H27" s="61">
        <v>54457340.349999994</v>
      </c>
      <c r="I27" s="61">
        <v>26073227.300000001</v>
      </c>
      <c r="J27" s="58">
        <f t="shared" si="0"/>
        <v>28384113.049999993</v>
      </c>
      <c r="K27" s="58"/>
      <c r="L27" s="61">
        <v>1527990.57</v>
      </c>
      <c r="N27" s="51" t="s">
        <v>232</v>
      </c>
      <c r="O27" s="157">
        <v>0</v>
      </c>
      <c r="P27" s="146"/>
      <c r="Q27" s="58">
        <f t="shared" si="2"/>
        <v>0</v>
      </c>
      <c r="R27" s="58">
        <f t="shared" si="3"/>
        <v>0</v>
      </c>
      <c r="S27" s="58">
        <f t="shared" si="4"/>
        <v>0</v>
      </c>
      <c r="T27" s="58">
        <f t="shared" si="1"/>
        <v>0</v>
      </c>
    </row>
    <row r="28" spans="1:20" ht="14">
      <c r="A28" s="16">
        <f>IF(ISNUMBER(H28),MAX(A$11:A27)+1,"")</f>
        <v>10</v>
      </c>
      <c r="C28" s="51">
        <v>335</v>
      </c>
      <c r="D28" s="51" t="s">
        <v>69</v>
      </c>
      <c r="H28" s="61">
        <v>62626323.899999984</v>
      </c>
      <c r="I28" s="61">
        <v>30558295.77</v>
      </c>
      <c r="J28" s="58">
        <f t="shared" si="0"/>
        <v>32068028.129999984</v>
      </c>
      <c r="K28" s="58"/>
      <c r="L28" s="61">
        <v>1761511.22</v>
      </c>
      <c r="N28" s="51" t="s">
        <v>232</v>
      </c>
      <c r="O28" s="157">
        <v>0</v>
      </c>
      <c r="P28" s="146"/>
      <c r="Q28" s="58">
        <f t="shared" si="2"/>
        <v>0</v>
      </c>
      <c r="R28" s="58">
        <f t="shared" si="3"/>
        <v>0</v>
      </c>
      <c r="S28" s="58">
        <f t="shared" si="4"/>
        <v>0</v>
      </c>
      <c r="T28" s="58">
        <f t="shared" si="1"/>
        <v>0</v>
      </c>
    </row>
    <row r="29" spans="1:20" ht="14">
      <c r="A29" s="16">
        <f>IF(ISNUMBER(H29),MAX(A$11:A28)+1,"")</f>
        <v>11</v>
      </c>
      <c r="C29" s="51">
        <v>336</v>
      </c>
      <c r="D29" s="51" t="s">
        <v>70</v>
      </c>
      <c r="H29" s="61">
        <v>1792667.77</v>
      </c>
      <c r="I29" s="61">
        <v>1047412.2999999999</v>
      </c>
      <c r="J29" s="58">
        <f t="shared" si="0"/>
        <v>745255.47000000009</v>
      </c>
      <c r="K29" s="58"/>
      <c r="L29" s="61">
        <v>0</v>
      </c>
      <c r="N29" s="51" t="s">
        <v>232</v>
      </c>
      <c r="O29" s="157">
        <v>0</v>
      </c>
      <c r="P29" s="146"/>
      <c r="Q29" s="58">
        <f t="shared" si="2"/>
        <v>0</v>
      </c>
      <c r="R29" s="58">
        <f t="shared" si="3"/>
        <v>0</v>
      </c>
      <c r="S29" s="58">
        <f t="shared" si="4"/>
        <v>0</v>
      </c>
      <c r="T29" s="58">
        <f t="shared" si="1"/>
        <v>0</v>
      </c>
    </row>
    <row r="30" spans="1:20">
      <c r="A30" s="16" t="str">
        <f>IF(ISNUMBER(H30),MAX(A$11:A29)+1,"")</f>
        <v/>
      </c>
      <c r="G30" s="51"/>
      <c r="R30"/>
      <c r="S30"/>
      <c r="T30"/>
    </row>
    <row r="31" spans="1:20">
      <c r="A31" s="16" t="str">
        <f>IF(ISNUMBER(H31),MAX(A$11:A30)+1,"")</f>
        <v/>
      </c>
      <c r="D31" s="53" t="s">
        <v>71</v>
      </c>
      <c r="G31" s="51"/>
      <c r="R31"/>
      <c r="S31"/>
      <c r="T31"/>
    </row>
    <row r="32" spans="1:20" ht="14">
      <c r="A32" s="16">
        <f>IF(ISNUMBER(H32),MAX(A$11:A31)+1,"")</f>
        <v>12</v>
      </c>
      <c r="C32" s="51">
        <v>346</v>
      </c>
      <c r="D32" s="51" t="s">
        <v>69</v>
      </c>
      <c r="H32" s="61">
        <v>29655.78</v>
      </c>
      <c r="I32" s="61">
        <v>19276.27</v>
      </c>
      <c r="J32" s="58">
        <f>H32-I32</f>
        <v>10379.509999999998</v>
      </c>
      <c r="K32" s="58"/>
      <c r="L32" s="61">
        <v>1482.79</v>
      </c>
      <c r="O32" s="157">
        <v>0</v>
      </c>
      <c r="P32" s="146"/>
      <c r="Q32" s="58">
        <f t="shared" ref="Q32" si="5">$O32*H32</f>
        <v>0</v>
      </c>
      <c r="R32" s="58">
        <f t="shared" ref="R32" si="6">$O32*I32</f>
        <v>0</v>
      </c>
      <c r="S32" s="58">
        <f t="shared" ref="S32" si="7">$O32*J32</f>
        <v>0</v>
      </c>
      <c r="T32" s="58">
        <f>$O32*L32</f>
        <v>0</v>
      </c>
    </row>
    <row r="33" spans="1:20">
      <c r="A33" s="16" t="str">
        <f>IF(ISNUMBER(H33),MAX(A$11:A32)+1,"")</f>
        <v/>
      </c>
      <c r="H33" s="58"/>
      <c r="I33" s="58"/>
      <c r="J33" s="58"/>
      <c r="K33" s="58"/>
      <c r="L33" s="58"/>
    </row>
    <row r="34" spans="1:20" ht="14">
      <c r="A34" s="16">
        <f>IF(ISNUMBER(H34),MAX(A$11:A33)+1,"")</f>
        <v>13</v>
      </c>
      <c r="D34" s="60" t="s">
        <v>100</v>
      </c>
      <c r="F34" s="51" t="str">
        <f>"Sum of Lines "&amp;A23&amp;"-"&amp;A32</f>
        <v>Sum of Lines 5-12</v>
      </c>
      <c r="H34" s="59">
        <f>SUM(H23:H32)</f>
        <v>1304999294.6499999</v>
      </c>
      <c r="I34" s="59">
        <f t="shared" ref="I34:L34" si="8">SUM(I23:I32)</f>
        <v>346166456.10000002</v>
      </c>
      <c r="J34" s="59">
        <f t="shared" si="8"/>
        <v>958832838.54999983</v>
      </c>
      <c r="K34" s="58"/>
      <c r="L34" s="59">
        <f t="shared" si="8"/>
        <v>19622948.979999997</v>
      </c>
      <c r="Q34" s="59">
        <f>SUM(Q23:Q32)</f>
        <v>0</v>
      </c>
      <c r="R34" s="59">
        <f>SUM(R23:R32)</f>
        <v>0</v>
      </c>
      <c r="S34" s="59">
        <f>SUM(S23:S32)</f>
        <v>0</v>
      </c>
      <c r="T34" s="59">
        <f t="shared" ref="T34" si="9">SUM(T23:T32)</f>
        <v>0</v>
      </c>
    </row>
    <row r="35" spans="1:20">
      <c r="A35" s="16" t="str">
        <f>IF(ISNUMBER(H35),MAX(A$11:A34)+1,"")</f>
        <v/>
      </c>
      <c r="H35" s="58"/>
      <c r="I35" s="58"/>
      <c r="J35" s="58"/>
      <c r="K35" s="58"/>
      <c r="L35" s="58"/>
    </row>
    <row r="36" spans="1:20">
      <c r="A36" s="16" t="str">
        <f>IF(ISNUMBER(H36),MAX(A$11:A35)+1,"")</f>
        <v/>
      </c>
      <c r="D36" s="53" t="s">
        <v>32</v>
      </c>
      <c r="H36" s="58"/>
      <c r="I36" s="58"/>
      <c r="J36" s="58"/>
      <c r="K36" s="58"/>
      <c r="L36" s="58"/>
    </row>
    <row r="37" spans="1:20" ht="14">
      <c r="A37" s="16">
        <f>IF(ISNUMBER(H37),MAX(A$11:A36)+1,"")</f>
        <v>14</v>
      </c>
      <c r="C37" s="51">
        <v>350</v>
      </c>
      <c r="D37" s="51" t="s">
        <v>64</v>
      </c>
      <c r="H37" s="61">
        <v>2002732.0499999998</v>
      </c>
      <c r="I37" s="61">
        <v>0</v>
      </c>
      <c r="J37" s="58">
        <f t="shared" ref="J37:J43" si="10">H37-I37</f>
        <v>2002732.0499999998</v>
      </c>
      <c r="K37" s="58"/>
      <c r="L37" s="61">
        <v>0</v>
      </c>
      <c r="N37" s="51" t="s">
        <v>534</v>
      </c>
      <c r="O37" s="157">
        <v>1</v>
      </c>
      <c r="P37" s="146"/>
      <c r="Q37" s="196">
        <f>$O37*H37</f>
        <v>2002732.0499999998</v>
      </c>
      <c r="R37" s="196">
        <f>$O37*I37</f>
        <v>0</v>
      </c>
      <c r="S37" s="196">
        <f>$O37*J37</f>
        <v>2002732.0499999998</v>
      </c>
      <c r="T37" s="196">
        <f>$O37*L37</f>
        <v>0</v>
      </c>
    </row>
    <row r="38" spans="1:20" ht="14">
      <c r="A38" s="16">
        <f>IF(ISNUMBER(H38),MAX(A$11:A37)+1,"")</f>
        <v>15</v>
      </c>
      <c r="C38" s="51">
        <v>352</v>
      </c>
      <c r="D38" s="51" t="s">
        <v>65</v>
      </c>
      <c r="H38" s="61">
        <v>5703869.6199999992</v>
      </c>
      <c r="I38" s="61">
        <v>3117846.83</v>
      </c>
      <c r="J38" s="58">
        <f t="shared" si="10"/>
        <v>2586022.7899999991</v>
      </c>
      <c r="K38" s="58"/>
      <c r="L38" s="61">
        <v>128033.87</v>
      </c>
      <c r="N38" s="51" t="s">
        <v>534</v>
      </c>
      <c r="O38" s="157">
        <v>1</v>
      </c>
      <c r="P38" s="146"/>
      <c r="Q38" s="196">
        <f t="shared" ref="Q38:Q43" si="11">$O38*H38</f>
        <v>5703869.6199999992</v>
      </c>
      <c r="R38" s="196">
        <f t="shared" ref="R38:R43" si="12">$O38*I38</f>
        <v>3117846.83</v>
      </c>
      <c r="S38" s="196">
        <f t="shared" ref="S38:S43" si="13">$O38*J38</f>
        <v>2586022.7899999991</v>
      </c>
      <c r="T38" s="196">
        <f t="shared" ref="T38:T43" si="14">$O38*L38</f>
        <v>128033.87</v>
      </c>
    </row>
    <row r="39" spans="1:20" ht="14">
      <c r="A39" s="16">
        <f>IF(ISNUMBER(H39),MAX(A$11:A38)+1,"")</f>
        <v>16</v>
      </c>
      <c r="C39" s="51">
        <v>353</v>
      </c>
      <c r="D39" s="51" t="s">
        <v>72</v>
      </c>
      <c r="H39" s="61">
        <v>88360877.060000002</v>
      </c>
      <c r="I39" s="61">
        <v>42082964.524799995</v>
      </c>
      <c r="J39" s="58">
        <f t="shared" si="10"/>
        <v>46277912.535200007</v>
      </c>
      <c r="K39" s="58"/>
      <c r="L39" s="61">
        <v>2303222.8348000003</v>
      </c>
      <c r="N39" s="51" t="s">
        <v>534</v>
      </c>
      <c r="O39" s="157">
        <v>1</v>
      </c>
      <c r="P39" s="146"/>
      <c r="Q39" s="196">
        <f t="shared" si="11"/>
        <v>88360877.060000002</v>
      </c>
      <c r="R39" s="196">
        <f t="shared" si="12"/>
        <v>42082964.524799995</v>
      </c>
      <c r="S39" s="196">
        <f t="shared" si="13"/>
        <v>46277912.535200007</v>
      </c>
      <c r="T39" s="196">
        <f t="shared" si="14"/>
        <v>2303222.8348000003</v>
      </c>
    </row>
    <row r="40" spans="1:20" ht="14">
      <c r="A40" s="16">
        <f>IF(ISNUMBER(H40),MAX(A$11:A39)+1,"")</f>
        <v>17</v>
      </c>
      <c r="C40" s="51">
        <v>354</v>
      </c>
      <c r="D40" s="51" t="s">
        <v>73</v>
      </c>
      <c r="H40" s="61">
        <v>9747602.0500000007</v>
      </c>
      <c r="I40" s="61">
        <v>5517492.1600000001</v>
      </c>
      <c r="J40" s="58">
        <f t="shared" si="10"/>
        <v>4230109.8900000006</v>
      </c>
      <c r="K40" s="58"/>
      <c r="L40" s="61">
        <v>158191.88</v>
      </c>
      <c r="N40" s="51" t="s">
        <v>534</v>
      </c>
      <c r="O40" s="157">
        <v>1</v>
      </c>
      <c r="P40" s="146"/>
      <c r="Q40" s="196">
        <f t="shared" si="11"/>
        <v>9747602.0500000007</v>
      </c>
      <c r="R40" s="196">
        <f t="shared" si="12"/>
        <v>5517492.1600000001</v>
      </c>
      <c r="S40" s="196">
        <f t="shared" si="13"/>
        <v>4230109.8900000006</v>
      </c>
      <c r="T40" s="196">
        <f t="shared" si="14"/>
        <v>158191.88</v>
      </c>
    </row>
    <row r="41" spans="1:20" ht="14">
      <c r="A41" s="16">
        <f>IF(ISNUMBER(H41),MAX(A$11:A40)+1,"")</f>
        <v>18</v>
      </c>
      <c r="C41" s="51">
        <v>355</v>
      </c>
      <c r="D41" s="51" t="s">
        <v>74</v>
      </c>
      <c r="H41" s="61">
        <v>87146502.609999999</v>
      </c>
      <c r="I41" s="61">
        <v>31054315.210000001</v>
      </c>
      <c r="J41" s="58">
        <f t="shared" si="10"/>
        <v>56092187.399999999</v>
      </c>
      <c r="K41" s="58"/>
      <c r="L41" s="61">
        <v>2435694.08</v>
      </c>
      <c r="N41" s="51" t="s">
        <v>534</v>
      </c>
      <c r="O41" s="157">
        <v>1</v>
      </c>
      <c r="P41" s="146"/>
      <c r="Q41" s="196">
        <f t="shared" si="11"/>
        <v>87146502.609999999</v>
      </c>
      <c r="R41" s="196">
        <f t="shared" si="12"/>
        <v>31054315.210000001</v>
      </c>
      <c r="S41" s="196">
        <f t="shared" si="13"/>
        <v>56092187.399999999</v>
      </c>
      <c r="T41" s="196">
        <f t="shared" si="14"/>
        <v>2435694.08</v>
      </c>
    </row>
    <row r="42" spans="1:20" ht="14">
      <c r="A42" s="16">
        <f>IF(ISNUMBER(H42),MAX(A$11:A41)+1,"")</f>
        <v>19</v>
      </c>
      <c r="C42" s="51">
        <v>356</v>
      </c>
      <c r="D42" s="51" t="s">
        <v>75</v>
      </c>
      <c r="H42" s="61">
        <v>60131256.400000006</v>
      </c>
      <c r="I42" s="61">
        <v>16163193.029999997</v>
      </c>
      <c r="J42" s="58">
        <f t="shared" si="10"/>
        <v>43968063.370000005</v>
      </c>
      <c r="K42" s="58"/>
      <c r="L42" s="61">
        <v>1138236.5299999998</v>
      </c>
      <c r="N42" s="51" t="s">
        <v>534</v>
      </c>
      <c r="O42" s="157">
        <v>1</v>
      </c>
      <c r="P42" s="146"/>
      <c r="Q42" s="196">
        <f t="shared" si="11"/>
        <v>60131256.400000006</v>
      </c>
      <c r="R42" s="196">
        <f t="shared" si="12"/>
        <v>16163193.029999997</v>
      </c>
      <c r="S42" s="196">
        <f t="shared" si="13"/>
        <v>43968063.370000005</v>
      </c>
      <c r="T42" s="196">
        <f t="shared" si="14"/>
        <v>1138236.5299999998</v>
      </c>
    </row>
    <row r="43" spans="1:20" ht="14">
      <c r="A43" s="16">
        <f>IF(ISNUMBER(H43),MAX(A$11:A42)+1,"")</f>
        <v>20</v>
      </c>
      <c r="C43" s="51">
        <v>359</v>
      </c>
      <c r="D43" s="51" t="s">
        <v>76</v>
      </c>
      <c r="H43" s="61">
        <v>82269.700000000012</v>
      </c>
      <c r="I43" s="61">
        <v>57579.75</v>
      </c>
      <c r="J43" s="58">
        <f t="shared" si="10"/>
        <v>24689.950000000012</v>
      </c>
      <c r="K43" s="58"/>
      <c r="L43" s="61">
        <v>380.78</v>
      </c>
      <c r="N43" s="51" t="s">
        <v>534</v>
      </c>
      <c r="O43" s="157">
        <v>1</v>
      </c>
      <c r="P43" s="146"/>
      <c r="Q43" s="196">
        <f t="shared" si="11"/>
        <v>82269.700000000012</v>
      </c>
      <c r="R43" s="196">
        <f t="shared" si="12"/>
        <v>57579.75</v>
      </c>
      <c r="S43" s="196">
        <f t="shared" si="13"/>
        <v>24689.950000000012</v>
      </c>
      <c r="T43" s="196">
        <f t="shared" si="14"/>
        <v>380.78</v>
      </c>
    </row>
    <row r="44" spans="1:20">
      <c r="A44" s="16" t="str">
        <f>IF(ISNUMBER(H44),MAX(A$11:A43)+1,"")</f>
        <v/>
      </c>
      <c r="H44" s="58"/>
      <c r="I44" s="58"/>
      <c r="J44" s="58"/>
      <c r="K44" s="58"/>
      <c r="L44" s="58"/>
    </row>
    <row r="45" spans="1:20" ht="14">
      <c r="A45" s="16">
        <f>IF(ISNUMBER(H45),MAX(A$11:A44)+1,"")</f>
        <v>21</v>
      </c>
      <c r="D45" s="60" t="s">
        <v>101</v>
      </c>
      <c r="F45" s="51" t="str">
        <f>"Sum of Lines "&amp;A37&amp;"-"&amp;A43</f>
        <v>Sum of Lines 14-20</v>
      </c>
      <c r="H45" s="59">
        <f>SUM(H37:H44)</f>
        <v>253175109.48999998</v>
      </c>
      <c r="I45" s="59">
        <f>SUM(I37:I44)</f>
        <v>97993391.504799992</v>
      </c>
      <c r="J45" s="59">
        <f>SUM(J37:J44)</f>
        <v>155181717.98519999</v>
      </c>
      <c r="K45" s="58"/>
      <c r="L45" s="59">
        <f>SUM(L37:L44)</f>
        <v>6163759.9748000009</v>
      </c>
      <c r="Q45" s="59">
        <f>SUM(Q37:Q44)</f>
        <v>253175109.48999998</v>
      </c>
      <c r="R45" s="59">
        <f>SUM(R37:R44)</f>
        <v>97993391.504799992</v>
      </c>
      <c r="S45" s="59">
        <f>SUM(S37:S44)</f>
        <v>155181717.98519999</v>
      </c>
      <c r="T45" s="59">
        <f>SUM(T37:T44)</f>
        <v>6163759.9748000009</v>
      </c>
    </row>
    <row r="46" spans="1:20">
      <c r="A46" s="16" t="str">
        <f>IF(ISNUMBER(H46),MAX(A$11:A45)+1,"")</f>
        <v/>
      </c>
      <c r="H46" s="58"/>
      <c r="I46" s="58"/>
      <c r="J46" s="58"/>
      <c r="K46" s="58"/>
      <c r="L46" s="58"/>
    </row>
    <row r="47" spans="1:20">
      <c r="A47" s="16" t="str">
        <f>IF(ISNUMBER(H47),MAX(A$11:A46)+1,"")</f>
        <v/>
      </c>
      <c r="D47" s="53" t="s">
        <v>77</v>
      </c>
      <c r="H47" s="58"/>
      <c r="I47" s="58"/>
      <c r="J47" s="58"/>
      <c r="K47" s="58"/>
      <c r="L47" s="58"/>
    </row>
    <row r="48" spans="1:20" ht="14">
      <c r="A48" s="16">
        <f>IF(ISNUMBER(H48),MAX(A$11:A47)+1,"")</f>
        <v>22</v>
      </c>
      <c r="C48" s="51">
        <v>360</v>
      </c>
      <c r="D48" s="51" t="s">
        <v>64</v>
      </c>
      <c r="H48" s="61">
        <v>853208.64</v>
      </c>
      <c r="I48" s="61">
        <v>0</v>
      </c>
      <c r="J48" s="58">
        <f t="shared" ref="J48:J58" si="15">H48-I48</f>
        <v>853208.64</v>
      </c>
      <c r="K48" s="58"/>
      <c r="L48" s="61">
        <v>0</v>
      </c>
      <c r="N48" s="51" t="s">
        <v>534</v>
      </c>
      <c r="O48" s="157">
        <v>1</v>
      </c>
      <c r="P48" s="146"/>
      <c r="Q48" s="196">
        <f t="shared" ref="Q48:Q58" si="16">$O48*H48</f>
        <v>853208.64</v>
      </c>
      <c r="R48" s="196">
        <f t="shared" ref="R48:S58" si="17">$O48*I48</f>
        <v>0</v>
      </c>
      <c r="S48" s="196">
        <f t="shared" si="17"/>
        <v>853208.64</v>
      </c>
      <c r="T48" s="196">
        <f t="shared" ref="T48:T57" si="18">$O48*L48</f>
        <v>0</v>
      </c>
    </row>
    <row r="49" spans="1:20" ht="14">
      <c r="A49" s="16">
        <f>IF(ISNUMBER(H49),MAX(A$11:A48)+1,"")</f>
        <v>23</v>
      </c>
      <c r="C49" s="51">
        <v>361</v>
      </c>
      <c r="D49" s="134" t="s">
        <v>65</v>
      </c>
      <c r="H49" s="61">
        <v>1052383.6300000001</v>
      </c>
      <c r="I49" s="61">
        <v>807297.96</v>
      </c>
      <c r="J49" s="58">
        <f t="shared" si="15"/>
        <v>245085.67000000016</v>
      </c>
      <c r="K49" s="58"/>
      <c r="L49" s="61">
        <v>25739.14</v>
      </c>
      <c r="N49" s="51" t="s">
        <v>534</v>
      </c>
      <c r="O49" s="157">
        <v>1</v>
      </c>
      <c r="P49" s="146"/>
      <c r="Q49" s="196">
        <f t="shared" si="16"/>
        <v>1052383.6300000001</v>
      </c>
      <c r="R49" s="196">
        <f t="shared" si="17"/>
        <v>807297.96</v>
      </c>
      <c r="S49" s="196">
        <f t="shared" si="17"/>
        <v>245085.67000000016</v>
      </c>
      <c r="T49" s="196">
        <f t="shared" si="18"/>
        <v>25739.14</v>
      </c>
    </row>
    <row r="50" spans="1:20" ht="14">
      <c r="A50" s="16">
        <f>IF(ISNUMBER(H50),MAX(A$11:A49)+1,"")</f>
        <v>24</v>
      </c>
      <c r="C50" s="51">
        <v>362</v>
      </c>
      <c r="D50" s="134" t="s">
        <v>80</v>
      </c>
      <c r="H50" s="61">
        <v>172786296.99000001</v>
      </c>
      <c r="I50" s="61">
        <v>61354678.79999999</v>
      </c>
      <c r="J50" s="58">
        <f t="shared" si="15"/>
        <v>111431618.19000003</v>
      </c>
      <c r="K50" s="58"/>
      <c r="L50" s="61">
        <v>5404497.9100000001</v>
      </c>
      <c r="N50" s="51" t="s">
        <v>534</v>
      </c>
      <c r="O50" s="157">
        <v>1</v>
      </c>
      <c r="P50" s="146"/>
      <c r="Q50" s="196">
        <f t="shared" si="16"/>
        <v>172786296.99000001</v>
      </c>
      <c r="R50" s="196">
        <f t="shared" si="17"/>
        <v>61354678.79999999</v>
      </c>
      <c r="S50" s="196">
        <f t="shared" si="17"/>
        <v>111431618.19000003</v>
      </c>
      <c r="T50" s="196">
        <f t="shared" si="18"/>
        <v>5404497.9100000001</v>
      </c>
    </row>
    <row r="51" spans="1:20" ht="14">
      <c r="A51" s="16">
        <f>IF(ISNUMBER(H51),MAX(A$11:A50)+1,"")</f>
        <v>25</v>
      </c>
      <c r="C51" s="51">
        <v>364</v>
      </c>
      <c r="D51" s="134" t="s">
        <v>81</v>
      </c>
      <c r="H51" s="61">
        <v>80103580.550000027</v>
      </c>
      <c r="I51" s="61">
        <v>54721564.35999997</v>
      </c>
      <c r="J51" s="58">
        <f t="shared" si="15"/>
        <v>25382016.190000057</v>
      </c>
      <c r="K51" s="58"/>
      <c r="L51" s="61">
        <v>3183020.2199999979</v>
      </c>
      <c r="N51" s="51" t="s">
        <v>534</v>
      </c>
      <c r="O51" s="157">
        <v>1</v>
      </c>
      <c r="P51" s="146"/>
      <c r="Q51" s="196">
        <f t="shared" si="16"/>
        <v>80103580.550000027</v>
      </c>
      <c r="R51" s="196">
        <f t="shared" si="17"/>
        <v>54721564.35999997</v>
      </c>
      <c r="S51" s="196">
        <f t="shared" si="17"/>
        <v>25382016.190000057</v>
      </c>
      <c r="T51" s="196">
        <f t="shared" si="18"/>
        <v>3183020.2199999979</v>
      </c>
    </row>
    <row r="52" spans="1:20" ht="14">
      <c r="A52" s="16">
        <f>IF(ISNUMBER(H52),MAX(A$11:A51)+1,"")</f>
        <v>26</v>
      </c>
      <c r="C52" s="51">
        <v>365</v>
      </c>
      <c r="D52" s="134" t="s">
        <v>75</v>
      </c>
      <c r="H52" s="61">
        <v>86176195.990000114</v>
      </c>
      <c r="I52" s="61">
        <v>37913658.259999968</v>
      </c>
      <c r="J52" s="58">
        <f t="shared" si="15"/>
        <v>48262537.730000146</v>
      </c>
      <c r="K52" s="58"/>
      <c r="L52" s="61">
        <v>2451124.1899999985</v>
      </c>
      <c r="N52" s="51" t="s">
        <v>540</v>
      </c>
      <c r="O52" s="164">
        <f>'Exh I - Allocators'!L51</f>
        <v>0.68947622149665844</v>
      </c>
      <c r="P52" s="146"/>
      <c r="Q52" s="196">
        <f t="shared" si="16"/>
        <v>59416437.994140767</v>
      </c>
      <c r="R52" s="196">
        <f t="shared" si="17"/>
        <v>26140565.840220351</v>
      </c>
      <c r="S52" s="196">
        <f t="shared" si="17"/>
        <v>33275872.153920416</v>
      </c>
      <c r="T52" s="196">
        <f t="shared" si="18"/>
        <v>1689991.8449402566</v>
      </c>
    </row>
    <row r="53" spans="1:20" ht="14">
      <c r="A53" s="16">
        <f>IF(ISNUMBER(H53),MAX(A$11:A52)+1,"")</f>
        <v>27</v>
      </c>
      <c r="C53" s="51">
        <v>366</v>
      </c>
      <c r="D53" s="134" t="s">
        <v>82</v>
      </c>
      <c r="H53" s="61">
        <v>20105792.080000006</v>
      </c>
      <c r="I53" s="61">
        <v>4866375.9199999971</v>
      </c>
      <c r="J53" s="58">
        <f t="shared" si="15"/>
        <v>15239416.160000008</v>
      </c>
      <c r="K53" s="58"/>
      <c r="L53" s="61">
        <v>397933.94000000029</v>
      </c>
      <c r="N53" s="51" t="s">
        <v>540</v>
      </c>
      <c r="O53" s="164">
        <f>'Exh I - Allocators'!L51</f>
        <v>0.68947622149665844</v>
      </c>
      <c r="P53" s="146"/>
      <c r="Q53" s="196">
        <f t="shared" si="16"/>
        <v>13862465.553515844</v>
      </c>
      <c r="R53" s="196">
        <f t="shared" si="17"/>
        <v>3355250.4817039231</v>
      </c>
      <c r="S53" s="196">
        <f t="shared" si="17"/>
        <v>10507215.071811922</v>
      </c>
      <c r="T53" s="196">
        <f t="shared" si="18"/>
        <v>274365.98935647821</v>
      </c>
    </row>
    <row r="54" spans="1:20" ht="14">
      <c r="A54" s="16">
        <f>IF(ISNUMBER(H54),MAX(A$11:A53)+1,"")</f>
        <v>28</v>
      </c>
      <c r="C54" s="51">
        <v>367</v>
      </c>
      <c r="D54" s="134" t="s">
        <v>83</v>
      </c>
      <c r="H54" s="61">
        <v>90463545.960000008</v>
      </c>
      <c r="I54" s="61">
        <v>33020227.949999999</v>
      </c>
      <c r="J54" s="58">
        <f t="shared" si="15"/>
        <v>57443318.010000005</v>
      </c>
      <c r="K54" s="58"/>
      <c r="L54" s="61">
        <v>2561239.1599999974</v>
      </c>
      <c r="N54" s="51" t="s">
        <v>540</v>
      </c>
      <c r="O54" s="164">
        <f>'Exh I - Allocators'!L51</f>
        <v>0.68947622149665844</v>
      </c>
      <c r="P54" s="146"/>
      <c r="Q54" s="196">
        <f t="shared" si="16"/>
        <v>62372463.851690106</v>
      </c>
      <c r="R54" s="196">
        <f t="shared" si="17"/>
        <v>22766661.999924351</v>
      </c>
      <c r="S54" s="196">
        <f t="shared" si="17"/>
        <v>39605801.851765752</v>
      </c>
      <c r="T54" s="196">
        <f t="shared" si="18"/>
        <v>1765913.4983860736</v>
      </c>
    </row>
    <row r="55" spans="1:20" ht="14">
      <c r="A55" s="16">
        <f>IF(ISNUMBER(H55),MAX(A$11:A54)+1,"")</f>
        <v>29</v>
      </c>
      <c r="C55" s="51">
        <v>368</v>
      </c>
      <c r="D55" s="134" t="s">
        <v>78</v>
      </c>
      <c r="H55" s="61">
        <v>73688080.839999989</v>
      </c>
      <c r="I55" s="61">
        <v>53514949.399999999</v>
      </c>
      <c r="J55" s="58">
        <f t="shared" si="15"/>
        <v>20173131.43999999</v>
      </c>
      <c r="K55" s="58"/>
      <c r="L55" s="61">
        <v>2921392.25</v>
      </c>
      <c r="N55" s="51" t="s">
        <v>232</v>
      </c>
      <c r="O55" s="157">
        <v>0</v>
      </c>
      <c r="P55" s="146"/>
      <c r="Q55" s="196">
        <f t="shared" si="16"/>
        <v>0</v>
      </c>
      <c r="R55" s="196">
        <f t="shared" si="17"/>
        <v>0</v>
      </c>
      <c r="S55" s="196">
        <f t="shared" si="17"/>
        <v>0</v>
      </c>
      <c r="T55" s="196">
        <f t="shared" si="18"/>
        <v>0</v>
      </c>
    </row>
    <row r="56" spans="1:20" ht="14">
      <c r="A56" s="16">
        <f>IF(ISNUMBER(H56),MAX(A$11:A55)+1,"")</f>
        <v>30</v>
      </c>
      <c r="C56" s="51">
        <v>369</v>
      </c>
      <c r="D56" s="134" t="s">
        <v>84</v>
      </c>
      <c r="H56" s="61">
        <v>20503277.64999998</v>
      </c>
      <c r="I56" s="61">
        <v>17822997.150000006</v>
      </c>
      <c r="J56" s="58">
        <f t="shared" si="15"/>
        <v>2680280.4999999739</v>
      </c>
      <c r="K56" s="58"/>
      <c r="L56" s="61">
        <v>807770.29000000015</v>
      </c>
      <c r="N56" s="51" t="s">
        <v>232</v>
      </c>
      <c r="O56" s="157">
        <v>0</v>
      </c>
      <c r="P56" s="146"/>
      <c r="Q56" s="196">
        <f t="shared" si="16"/>
        <v>0</v>
      </c>
      <c r="R56" s="196">
        <f t="shared" si="17"/>
        <v>0</v>
      </c>
      <c r="S56" s="196">
        <f t="shared" si="17"/>
        <v>0</v>
      </c>
      <c r="T56" s="196">
        <f t="shared" si="18"/>
        <v>0</v>
      </c>
    </row>
    <row r="57" spans="1:20" ht="14">
      <c r="A57" s="16">
        <f>IF(ISNUMBER(H57),MAX(A$11:A56)+1,"")</f>
        <v>31</v>
      </c>
      <c r="C57" s="51">
        <v>370</v>
      </c>
      <c r="D57" s="51" t="s">
        <v>79</v>
      </c>
      <c r="H57" s="61">
        <v>13806007.749999996</v>
      </c>
      <c r="I57" s="61">
        <v>11373033.790000001</v>
      </c>
      <c r="J57" s="58">
        <f t="shared" si="15"/>
        <v>2432973.9599999953</v>
      </c>
      <c r="K57" s="58"/>
      <c r="L57" s="61">
        <v>334652.7900000001</v>
      </c>
      <c r="N57" s="51" t="s">
        <v>232</v>
      </c>
      <c r="O57" s="157">
        <v>0</v>
      </c>
      <c r="P57" s="146"/>
      <c r="Q57" s="196">
        <f t="shared" si="16"/>
        <v>0</v>
      </c>
      <c r="R57" s="196">
        <f t="shared" si="17"/>
        <v>0</v>
      </c>
      <c r="S57" s="196">
        <f t="shared" si="17"/>
        <v>0</v>
      </c>
      <c r="T57" s="196">
        <f t="shared" si="18"/>
        <v>0</v>
      </c>
    </row>
    <row r="58" spans="1:20" ht="14">
      <c r="A58" s="16">
        <f>IF(ISNUMBER(H58),MAX(A$11:A57)+1,"")</f>
        <v>32</v>
      </c>
      <c r="C58" s="51">
        <v>373</v>
      </c>
      <c r="D58" s="51" t="s">
        <v>85</v>
      </c>
      <c r="H58" s="61">
        <v>6756485.4000000004</v>
      </c>
      <c r="I58" s="61">
        <v>5204501.7</v>
      </c>
      <c r="J58" s="58">
        <f t="shared" si="15"/>
        <v>1551983.7000000002</v>
      </c>
      <c r="K58" s="58"/>
      <c r="L58" s="61">
        <v>268710.65999999997</v>
      </c>
      <c r="N58" s="51" t="s">
        <v>232</v>
      </c>
      <c r="O58" s="157">
        <v>0</v>
      </c>
      <c r="P58" s="146"/>
      <c r="Q58" s="196">
        <f t="shared" si="16"/>
        <v>0</v>
      </c>
      <c r="R58" s="196">
        <f t="shared" si="17"/>
        <v>0</v>
      </c>
      <c r="S58" s="196">
        <f t="shared" si="17"/>
        <v>0</v>
      </c>
      <c r="T58" s="196">
        <f t="shared" ref="T58" si="19">$O58*L58</f>
        <v>0</v>
      </c>
    </row>
    <row r="59" spans="1:20">
      <c r="A59" s="16" t="str">
        <f>IF(ISNUMBER(H59),MAX(A$11:A58)+1,"")</f>
        <v/>
      </c>
      <c r="H59" s="58"/>
      <c r="I59" s="58"/>
      <c r="J59" s="58"/>
      <c r="K59" s="58"/>
      <c r="L59" s="58"/>
      <c r="T59" s="196"/>
    </row>
    <row r="60" spans="1:20" ht="14">
      <c r="A60" s="16">
        <f>IF(ISNUMBER(H60),MAX(A$11:A59)+1,"")</f>
        <v>33</v>
      </c>
      <c r="D60" s="60" t="s">
        <v>102</v>
      </c>
      <c r="F60" s="51" t="str">
        <f>"Sum of Lines "&amp;A48&amp;"-"&amp;A58</f>
        <v>Sum of Lines 22-32</v>
      </c>
      <c r="H60" s="59">
        <f>SUM(H48:H58)</f>
        <v>566294855.48000014</v>
      </c>
      <c r="I60" s="59">
        <f>SUM(I48:I58)</f>
        <v>280599285.2899999</v>
      </c>
      <c r="J60" s="59">
        <f>SUM(J48:J58)</f>
        <v>285695570.19000018</v>
      </c>
      <c r="K60" s="58"/>
      <c r="L60" s="59">
        <f>SUM(L48:L58)</f>
        <v>18356080.549999993</v>
      </c>
      <c r="Q60" s="59">
        <f>SUM(Q48:Q58)</f>
        <v>390446837.20934677</v>
      </c>
      <c r="R60" s="59">
        <f>SUM(R48:R58)</f>
        <v>169146019.44184861</v>
      </c>
      <c r="S60" s="59">
        <f>SUM(S48:S58)</f>
        <v>221300817.76749817</v>
      </c>
      <c r="T60" s="59">
        <f>SUM(T48:T58)</f>
        <v>12343528.602682807</v>
      </c>
    </row>
    <row r="61" spans="1:20">
      <c r="A61" s="16" t="str">
        <f>IF(ISNUMBER(H61),MAX(A$11:A60)+1,"")</f>
        <v/>
      </c>
      <c r="H61" s="58"/>
      <c r="I61" s="58"/>
      <c r="J61" s="58"/>
      <c r="K61" s="58"/>
      <c r="L61" s="58"/>
    </row>
    <row r="62" spans="1:20">
      <c r="A62" s="16" t="str">
        <f>IF(ISNUMBER(H62),MAX(A$11:A61)+1,"")</f>
        <v/>
      </c>
      <c r="D62" s="53" t="s">
        <v>11</v>
      </c>
      <c r="H62" s="58"/>
      <c r="I62" s="58"/>
      <c r="J62" s="58">
        <v>0</v>
      </c>
      <c r="K62" s="58"/>
      <c r="L62" s="58"/>
    </row>
    <row r="63" spans="1:20" ht="14">
      <c r="A63" s="16">
        <f>IF(ISNUMBER(H63),MAX(A$11:A62)+1,"")</f>
        <v>34</v>
      </c>
      <c r="C63" s="51">
        <v>389</v>
      </c>
      <c r="D63" s="51" t="s">
        <v>64</v>
      </c>
      <c r="H63" s="61">
        <v>2377715.5</v>
      </c>
      <c r="I63" s="61">
        <v>0</v>
      </c>
      <c r="J63" s="58">
        <f t="shared" ref="J63:J72" si="20">H63-I63</f>
        <v>2377715.5</v>
      </c>
      <c r="K63" s="58"/>
      <c r="L63" s="61">
        <v>0</v>
      </c>
      <c r="N63" s="51" t="s">
        <v>534</v>
      </c>
      <c r="O63" s="157">
        <v>1</v>
      </c>
      <c r="P63" s="146"/>
      <c r="Q63" s="196">
        <f>$O63*H63</f>
        <v>2377715.5</v>
      </c>
      <c r="R63" s="196">
        <f>$O63*I63</f>
        <v>0</v>
      </c>
      <c r="S63" s="196">
        <f>$O63*J63</f>
        <v>2377715.5</v>
      </c>
      <c r="T63" s="196">
        <f>$O63*L63</f>
        <v>0</v>
      </c>
    </row>
    <row r="64" spans="1:20" ht="14">
      <c r="A64" s="16">
        <f>IF(ISNUMBER(H64),MAX(A$11:A63)+1,"")</f>
        <v>35</v>
      </c>
      <c r="C64" s="51">
        <v>390</v>
      </c>
      <c r="D64" s="51" t="s">
        <v>65</v>
      </c>
      <c r="H64" s="61">
        <v>184775016.59999999</v>
      </c>
      <c r="I64" s="61">
        <v>23596092.366400007</v>
      </c>
      <c r="J64" s="58">
        <f t="shared" si="20"/>
        <v>161178924.23359999</v>
      </c>
      <c r="K64" s="58"/>
      <c r="L64" s="61">
        <v>4167934.3864000002</v>
      </c>
      <c r="N64" s="51" t="s">
        <v>534</v>
      </c>
      <c r="O64" s="157">
        <v>1</v>
      </c>
      <c r="P64" s="146"/>
      <c r="Q64" s="196">
        <f t="shared" ref="Q64:Q72" si="21">$O64*H64</f>
        <v>184775016.59999999</v>
      </c>
      <c r="R64" s="196">
        <f t="shared" ref="R64:R72" si="22">$O64*I64</f>
        <v>23596092.366400007</v>
      </c>
      <c r="S64" s="196">
        <f t="shared" ref="S64:S72" si="23">$O64*J64</f>
        <v>161178924.23359999</v>
      </c>
      <c r="T64" s="196">
        <f t="shared" ref="T64:T72" si="24">$O64*L64</f>
        <v>4167934.3864000002</v>
      </c>
    </row>
    <row r="65" spans="1:20" ht="14">
      <c r="A65" s="16">
        <f>IF(ISNUMBER(H65),MAX(A$11:A64)+1,"")</f>
        <v>36</v>
      </c>
      <c r="C65" s="51">
        <v>391</v>
      </c>
      <c r="D65" s="51" t="s">
        <v>86</v>
      </c>
      <c r="H65" s="61">
        <v>43672057.110000007</v>
      </c>
      <c r="I65" s="61">
        <v>43375927.620000005</v>
      </c>
      <c r="J65" s="58">
        <f t="shared" si="20"/>
        <v>296129.49000000209</v>
      </c>
      <c r="K65" s="58"/>
      <c r="L65" s="61">
        <v>53235.67</v>
      </c>
      <c r="N65" s="51" t="s">
        <v>534</v>
      </c>
      <c r="O65" s="157">
        <v>1</v>
      </c>
      <c r="P65" s="146"/>
      <c r="Q65" s="196">
        <f t="shared" si="21"/>
        <v>43672057.110000007</v>
      </c>
      <c r="R65" s="196">
        <f t="shared" si="22"/>
        <v>43375927.620000005</v>
      </c>
      <c r="S65" s="196">
        <f t="shared" si="23"/>
        <v>296129.49000000209</v>
      </c>
      <c r="T65" s="196">
        <f t="shared" si="24"/>
        <v>53235.67</v>
      </c>
    </row>
    <row r="66" spans="1:20" ht="14">
      <c r="A66" s="16">
        <f>IF(ISNUMBER(H66),MAX(A$11:A65)+1,"")</f>
        <v>37</v>
      </c>
      <c r="C66" s="51">
        <v>392</v>
      </c>
      <c r="D66" s="51" t="s">
        <v>87</v>
      </c>
      <c r="H66" s="61">
        <v>22479766.470000021</v>
      </c>
      <c r="I66" s="61">
        <v>19261334.739999995</v>
      </c>
      <c r="J66" s="58">
        <f t="shared" si="20"/>
        <v>3218431.7300000265</v>
      </c>
      <c r="K66" s="58"/>
      <c r="L66" s="61">
        <v>1084346.5200000003</v>
      </c>
      <c r="N66" s="51" t="s">
        <v>534</v>
      </c>
      <c r="O66" s="157">
        <v>1</v>
      </c>
      <c r="P66" s="146"/>
      <c r="Q66" s="196">
        <f t="shared" si="21"/>
        <v>22479766.470000021</v>
      </c>
      <c r="R66" s="196">
        <f t="shared" si="22"/>
        <v>19261334.739999995</v>
      </c>
      <c r="S66" s="196">
        <f t="shared" si="23"/>
        <v>3218431.7300000265</v>
      </c>
      <c r="T66" s="196">
        <f t="shared" si="24"/>
        <v>1084346.5200000003</v>
      </c>
    </row>
    <row r="67" spans="1:20" ht="14">
      <c r="A67" s="16">
        <f>IF(ISNUMBER(H67),MAX(A$11:A66)+1,"")</f>
        <v>38</v>
      </c>
      <c r="C67" s="51">
        <v>393</v>
      </c>
      <c r="D67" s="51" t="s">
        <v>88</v>
      </c>
      <c r="H67" s="61">
        <v>210943.86</v>
      </c>
      <c r="I67" s="61">
        <v>210943.86</v>
      </c>
      <c r="J67" s="58">
        <f t="shared" si="20"/>
        <v>0</v>
      </c>
      <c r="K67" s="58"/>
      <c r="L67" s="61">
        <v>0</v>
      </c>
      <c r="N67" s="51" t="s">
        <v>534</v>
      </c>
      <c r="O67" s="157">
        <v>1</v>
      </c>
      <c r="P67" s="146"/>
      <c r="Q67" s="196">
        <f t="shared" si="21"/>
        <v>210943.86</v>
      </c>
      <c r="R67" s="196">
        <f t="shared" si="22"/>
        <v>210943.86</v>
      </c>
      <c r="S67" s="196">
        <f t="shared" si="23"/>
        <v>0</v>
      </c>
      <c r="T67" s="196">
        <f t="shared" si="24"/>
        <v>0</v>
      </c>
    </row>
    <row r="68" spans="1:20" ht="14">
      <c r="A68" s="16">
        <f>IF(ISNUMBER(H68),MAX(A$11:A67)+1,"")</f>
        <v>39</v>
      </c>
      <c r="C68" s="51">
        <v>394</v>
      </c>
      <c r="D68" s="51" t="s">
        <v>89</v>
      </c>
      <c r="H68" s="61">
        <v>8263181.6000000006</v>
      </c>
      <c r="I68" s="61">
        <v>4147861.189999999</v>
      </c>
      <c r="J68" s="58">
        <f t="shared" si="20"/>
        <v>4115320.4100000015</v>
      </c>
      <c r="K68" s="58"/>
      <c r="L68" s="61">
        <v>252577.28999999998</v>
      </c>
      <c r="N68" s="51" t="s">
        <v>534</v>
      </c>
      <c r="O68" s="157">
        <v>1</v>
      </c>
      <c r="P68" s="146"/>
      <c r="Q68" s="196">
        <f t="shared" si="21"/>
        <v>8263181.6000000006</v>
      </c>
      <c r="R68" s="196">
        <f t="shared" si="22"/>
        <v>4147861.189999999</v>
      </c>
      <c r="S68" s="196">
        <f t="shared" si="23"/>
        <v>4115320.4100000015</v>
      </c>
      <c r="T68" s="196">
        <f t="shared" si="24"/>
        <v>252577.28999999998</v>
      </c>
    </row>
    <row r="69" spans="1:20" ht="14">
      <c r="A69" s="16">
        <f>IF(ISNUMBER(H69),MAX(A$11:A68)+1,"")</f>
        <v>40</v>
      </c>
      <c r="C69" s="51">
        <v>395</v>
      </c>
      <c r="D69" s="51" t="s">
        <v>90</v>
      </c>
      <c r="H69" s="61">
        <v>493371.12</v>
      </c>
      <c r="I69" s="61">
        <v>493371.12</v>
      </c>
      <c r="J69" s="58">
        <f t="shared" si="20"/>
        <v>0</v>
      </c>
      <c r="K69" s="58"/>
      <c r="L69" s="61">
        <v>0</v>
      </c>
      <c r="N69" s="51" t="s">
        <v>534</v>
      </c>
      <c r="O69" s="157">
        <v>1</v>
      </c>
      <c r="P69" s="146"/>
      <c r="Q69" s="196">
        <f t="shared" si="21"/>
        <v>493371.12</v>
      </c>
      <c r="R69" s="196">
        <f t="shared" si="22"/>
        <v>493371.12</v>
      </c>
      <c r="S69" s="196">
        <f t="shared" si="23"/>
        <v>0</v>
      </c>
      <c r="T69" s="196">
        <f t="shared" si="24"/>
        <v>0</v>
      </c>
    </row>
    <row r="70" spans="1:20" ht="14">
      <c r="A70" s="16">
        <f>IF(ISNUMBER(H70),MAX(A$11:A69)+1,"")</f>
        <v>41</v>
      </c>
      <c r="C70" s="51">
        <v>396</v>
      </c>
      <c r="D70" s="51" t="s">
        <v>91</v>
      </c>
      <c r="H70" s="61">
        <v>368133.91</v>
      </c>
      <c r="I70" s="61">
        <v>368133.91</v>
      </c>
      <c r="J70" s="58">
        <f t="shared" si="20"/>
        <v>0</v>
      </c>
      <c r="K70" s="58"/>
      <c r="L70" s="61">
        <v>0</v>
      </c>
      <c r="N70" s="51" t="s">
        <v>534</v>
      </c>
      <c r="O70" s="157">
        <v>1</v>
      </c>
      <c r="P70" s="146"/>
      <c r="Q70" s="196">
        <f t="shared" si="21"/>
        <v>368133.91</v>
      </c>
      <c r="R70" s="196">
        <f t="shared" si="22"/>
        <v>368133.91</v>
      </c>
      <c r="S70" s="196">
        <f t="shared" si="23"/>
        <v>0</v>
      </c>
      <c r="T70" s="196">
        <f t="shared" si="24"/>
        <v>0</v>
      </c>
    </row>
    <row r="71" spans="1:20" ht="14">
      <c r="A71" s="16">
        <f>IF(ISNUMBER(H71),MAX(A$11:A70)+1,"")</f>
        <v>42</v>
      </c>
      <c r="C71" s="51">
        <v>397</v>
      </c>
      <c r="D71" s="51" t="s">
        <v>92</v>
      </c>
      <c r="H71" s="61">
        <v>225527413.19000012</v>
      </c>
      <c r="I71" s="61">
        <v>134693538.73999995</v>
      </c>
      <c r="J71" s="58">
        <f t="shared" si="20"/>
        <v>90833874.450000167</v>
      </c>
      <c r="K71" s="58"/>
      <c r="L71" s="61">
        <v>9570615.75</v>
      </c>
      <c r="N71" s="51" t="s">
        <v>534</v>
      </c>
      <c r="O71" s="157">
        <v>1</v>
      </c>
      <c r="P71" s="146"/>
      <c r="Q71" s="196">
        <f t="shared" si="21"/>
        <v>225527413.19000012</v>
      </c>
      <c r="R71" s="196">
        <f t="shared" si="22"/>
        <v>134693538.73999995</v>
      </c>
      <c r="S71" s="196">
        <f t="shared" si="23"/>
        <v>90833874.450000167</v>
      </c>
      <c r="T71" s="196">
        <f t="shared" si="24"/>
        <v>9570615.75</v>
      </c>
    </row>
    <row r="72" spans="1:20" ht="14">
      <c r="A72" s="16">
        <f>IF(ISNUMBER(H72),MAX(A$11:A71)+1,"")</f>
        <v>43</v>
      </c>
      <c r="C72" s="51">
        <v>398</v>
      </c>
      <c r="D72" s="51" t="s">
        <v>93</v>
      </c>
      <c r="H72" s="61">
        <v>5284086.3900000006</v>
      </c>
      <c r="I72" s="61">
        <v>3955433.2</v>
      </c>
      <c r="J72" s="58">
        <f t="shared" si="20"/>
        <v>1328653.1900000004</v>
      </c>
      <c r="K72" s="58"/>
      <c r="L72" s="61">
        <v>246068.27000000002</v>
      </c>
      <c r="N72" s="51" t="s">
        <v>534</v>
      </c>
      <c r="O72" s="157">
        <v>1</v>
      </c>
      <c r="P72" s="146"/>
      <c r="Q72" s="196">
        <f t="shared" si="21"/>
        <v>5284086.3900000006</v>
      </c>
      <c r="R72" s="196">
        <f t="shared" si="22"/>
        <v>3955433.2</v>
      </c>
      <c r="S72" s="196">
        <f t="shared" si="23"/>
        <v>1328653.1900000004</v>
      </c>
      <c r="T72" s="196">
        <f t="shared" si="24"/>
        <v>246068.27000000002</v>
      </c>
    </row>
    <row r="73" spans="1:20">
      <c r="A73" s="16" t="str">
        <f>IF(ISNUMBER(H73),MAX(A$11:A72)+1,"")</f>
        <v/>
      </c>
      <c r="H73" s="58"/>
      <c r="I73" s="58"/>
      <c r="J73" s="58"/>
      <c r="K73" s="58"/>
      <c r="L73" s="58"/>
    </row>
    <row r="74" spans="1:20" ht="14">
      <c r="A74" s="16">
        <f>IF(ISNUMBER(H74),MAX(A$11:A73)+1,"")</f>
        <v>44</v>
      </c>
      <c r="D74" s="60" t="s">
        <v>103</v>
      </c>
      <c r="F74" s="51" t="str">
        <f>"Sum of Lines "&amp;A63&amp;"-"&amp;A72</f>
        <v>Sum of Lines 34-43</v>
      </c>
      <c r="H74" s="59">
        <f>SUM(H63:H72)</f>
        <v>493451685.75000012</v>
      </c>
      <c r="I74" s="59">
        <f>SUM(I63:I72)</f>
        <v>230102636.74639994</v>
      </c>
      <c r="J74" s="59">
        <f>SUM(J63:J72)</f>
        <v>263349049.00360018</v>
      </c>
      <c r="K74" s="58"/>
      <c r="L74" s="59">
        <f>SUM(L63:L72)</f>
        <v>15374777.886399999</v>
      </c>
      <c r="Q74" s="59">
        <f>SUM(Q63:Q72)</f>
        <v>493451685.75000012</v>
      </c>
      <c r="R74" s="59">
        <f>SUM(R63:R72)</f>
        <v>230102636.74639994</v>
      </c>
      <c r="S74" s="59">
        <f>SUM(S63:S72)</f>
        <v>263349049.00360018</v>
      </c>
      <c r="T74" s="59">
        <f>SUM(T63:T72)</f>
        <v>15374777.886399999</v>
      </c>
    </row>
    <row r="75" spans="1:20">
      <c r="A75" s="16">
        <f>IF(ISNUMBER(H76),MAX(A$11:A74)+1,"")</f>
        <v>45</v>
      </c>
      <c r="I75" s="58"/>
      <c r="J75" s="58"/>
      <c r="K75" s="58"/>
      <c r="L75" s="58"/>
    </row>
    <row r="76" spans="1:20" ht="14">
      <c r="A76" s="16" t="str">
        <f>IF(ISNUMBER(#REF!),MAX(A$11:A75)+1,"")</f>
        <v/>
      </c>
      <c r="D76" s="60" t="s">
        <v>533</v>
      </c>
      <c r="F76" s="51" t="str">
        <f>"Line "&amp;A20&amp;" + Line "&amp;A34&amp;" + Line "&amp;A45&amp;" + Line "&amp;A60&amp;" + Line "&amp;A74</f>
        <v>Line 4 + Line 13 + Line 21 + Line 33 + Line 44</v>
      </c>
      <c r="H76" s="58">
        <f>H74+H60+H45+H34+H20</f>
        <v>2811763800.3699999</v>
      </c>
      <c r="I76" s="58">
        <f>I74+I60+I45+I34+I20</f>
        <v>1044984262.6411998</v>
      </c>
      <c r="J76" s="58">
        <f>J74+J60+J45+J34+J20</f>
        <v>1766779537.7288003</v>
      </c>
      <c r="K76" s="58"/>
      <c r="L76" s="58">
        <f>L74+L60+L45+L34+L20</f>
        <v>66388007.391199991</v>
      </c>
      <c r="Q76" s="58">
        <f>Q74+Q60+Q45+Q34+Q20</f>
        <v>1330916487.4493468</v>
      </c>
      <c r="R76" s="58">
        <f>R74+R60+R45+R34+R20</f>
        <v>587364540.69304848</v>
      </c>
      <c r="S76" s="58">
        <f>S74+S60+S45+S34+S20</f>
        <v>743551946.7562983</v>
      </c>
      <c r="T76" s="58">
        <f>T74+T60+T45+T34+T20</f>
        <v>40752506.463882804</v>
      </c>
    </row>
    <row r="77" spans="1:20">
      <c r="A77" s="9" t="s">
        <v>112</v>
      </c>
      <c r="B77" s="4"/>
      <c r="C77" s="2"/>
      <c r="H77" s="58"/>
      <c r="I77" s="58"/>
      <c r="J77" s="58"/>
      <c r="K77" s="58"/>
      <c r="L77" s="58"/>
    </row>
    <row r="78" spans="1:20">
      <c r="A78" s="9" t="s">
        <v>113</v>
      </c>
      <c r="B78" s="4"/>
      <c r="C78" s="2" t="s">
        <v>600</v>
      </c>
      <c r="D78" s="104"/>
      <c r="H78" s="58"/>
      <c r="I78" s="58"/>
      <c r="J78" s="58"/>
      <c r="K78" s="58"/>
      <c r="L78" s="58"/>
    </row>
    <row r="79" spans="1:20">
      <c r="A79" s="4"/>
      <c r="B79" s="4"/>
      <c r="C79" s="2"/>
      <c r="H79" s="58"/>
      <c r="I79" s="58"/>
      <c r="J79" s="58"/>
      <c r="K79" s="58"/>
      <c r="L79" s="58"/>
    </row>
    <row r="80" spans="1:20">
      <c r="A80" s="9" t="s">
        <v>115</v>
      </c>
      <c r="B80" s="4"/>
      <c r="C80" s="2" t="s">
        <v>517</v>
      </c>
      <c r="H80" s="58"/>
      <c r="I80" s="58"/>
      <c r="J80" s="58"/>
      <c r="K80" s="58"/>
      <c r="L80" s="58"/>
    </row>
    <row r="81" spans="1:12">
      <c r="A81" s="16" t="str">
        <f>IF(ISNUMBER(H81),MAX(A$11:A80)+1,"")</f>
        <v/>
      </c>
      <c r="H81" s="58"/>
      <c r="I81" s="58"/>
      <c r="J81" s="58"/>
      <c r="K81" s="58"/>
      <c r="L81" s="58"/>
    </row>
    <row r="82" spans="1:12">
      <c r="A82" s="9" t="s">
        <v>235</v>
      </c>
      <c r="C82" s="51" t="s">
        <v>605</v>
      </c>
      <c r="H82" s="58"/>
      <c r="I82" s="58"/>
      <c r="J82" s="58"/>
      <c r="K82" s="58"/>
      <c r="L82" s="58"/>
    </row>
    <row r="83" spans="1:12">
      <c r="B83" s="169"/>
      <c r="C83" s="170" t="s">
        <v>590</v>
      </c>
      <c r="D83" s="170" t="s">
        <v>589</v>
      </c>
      <c r="H83" s="58"/>
      <c r="I83" s="58"/>
      <c r="J83" s="58"/>
      <c r="K83" s="58"/>
      <c r="L83" s="58"/>
    </row>
    <row r="84" spans="1:12">
      <c r="C84" s="51" t="s">
        <v>545</v>
      </c>
      <c r="D84" s="171">
        <f t="shared" ref="D84:D122" si="25">SUMIFS(H:H,C:C,C:C)</f>
        <v>30373</v>
      </c>
      <c r="H84" s="58"/>
      <c r="I84" s="58"/>
      <c r="J84" s="58"/>
      <c r="K84" s="58"/>
      <c r="L84" s="58"/>
    </row>
    <row r="85" spans="1:12">
      <c r="C85" s="51" t="s">
        <v>546</v>
      </c>
      <c r="D85" s="171">
        <f t="shared" si="25"/>
        <v>58906053</v>
      </c>
      <c r="H85" s="58"/>
      <c r="I85" s="58"/>
      <c r="J85" s="58"/>
      <c r="K85" s="58"/>
      <c r="L85" s="58"/>
    </row>
    <row r="86" spans="1:12">
      <c r="C86" s="51" t="s">
        <v>547</v>
      </c>
      <c r="D86" s="171">
        <f t="shared" si="25"/>
        <v>134906429</v>
      </c>
      <c r="H86" s="58"/>
      <c r="I86" s="58"/>
      <c r="J86" s="58"/>
      <c r="K86" s="58"/>
      <c r="L86" s="58"/>
    </row>
    <row r="87" spans="1:12">
      <c r="C87" s="51" t="s">
        <v>548</v>
      </c>
      <c r="D87" s="171">
        <f t="shared" si="25"/>
        <v>19692643.300000001</v>
      </c>
      <c r="H87" s="58"/>
      <c r="I87" s="58"/>
      <c r="J87" s="58"/>
      <c r="K87" s="58"/>
      <c r="L87" s="58"/>
    </row>
    <row r="88" spans="1:12">
      <c r="C88" s="51" t="s">
        <v>549</v>
      </c>
      <c r="D88" s="171">
        <f t="shared" si="25"/>
        <v>139054611.09999999</v>
      </c>
      <c r="H88" s="58"/>
      <c r="I88" s="58"/>
      <c r="J88" s="58"/>
      <c r="K88" s="58"/>
      <c r="L88" s="58"/>
    </row>
    <row r="89" spans="1:12">
      <c r="C89" s="51" t="s">
        <v>550</v>
      </c>
      <c r="D89" s="171">
        <f t="shared" si="25"/>
        <v>508356796.70999998</v>
      </c>
      <c r="H89" s="58"/>
      <c r="I89" s="58"/>
      <c r="J89" s="58"/>
      <c r="K89" s="58"/>
      <c r="L89" s="58"/>
    </row>
    <row r="90" spans="1:12">
      <c r="C90" s="51" t="s">
        <v>551</v>
      </c>
      <c r="D90" s="171">
        <f t="shared" si="25"/>
        <v>518989255.73999995</v>
      </c>
      <c r="H90" s="58"/>
      <c r="I90" s="58"/>
      <c r="J90" s="58"/>
      <c r="K90" s="58"/>
      <c r="L90" s="58"/>
    </row>
    <row r="91" spans="1:12">
      <c r="C91" s="51" t="s">
        <v>552</v>
      </c>
      <c r="D91" s="171">
        <f t="shared" si="25"/>
        <v>54457340.349999994</v>
      </c>
      <c r="H91" s="58"/>
      <c r="I91" s="58"/>
      <c r="J91" s="58"/>
      <c r="K91" s="58"/>
      <c r="L91" s="58"/>
    </row>
    <row r="92" spans="1:12">
      <c r="C92" s="51" t="s">
        <v>553</v>
      </c>
      <c r="D92" s="171">
        <f t="shared" si="25"/>
        <v>62626323.899999984</v>
      </c>
      <c r="H92" s="58"/>
      <c r="I92" s="58"/>
      <c r="J92" s="58"/>
      <c r="K92" s="58"/>
      <c r="L92" s="58"/>
    </row>
    <row r="93" spans="1:12">
      <c r="C93" s="51" t="s">
        <v>554</v>
      </c>
      <c r="D93" s="171">
        <f t="shared" si="25"/>
        <v>1792667.77</v>
      </c>
      <c r="H93" s="58"/>
      <c r="I93" s="58"/>
      <c r="J93" s="58"/>
      <c r="K93" s="58"/>
      <c r="L93" s="58"/>
    </row>
    <row r="94" spans="1:12">
      <c r="C94" s="51" t="s">
        <v>555</v>
      </c>
      <c r="D94" s="171">
        <f t="shared" si="25"/>
        <v>29655.78</v>
      </c>
      <c r="H94" s="58"/>
      <c r="I94" s="58"/>
      <c r="J94" s="58"/>
      <c r="K94" s="58"/>
      <c r="L94" s="58"/>
    </row>
    <row r="95" spans="1:12">
      <c r="C95" s="51" t="s">
        <v>556</v>
      </c>
      <c r="D95" s="171">
        <f t="shared" si="25"/>
        <v>2002732.0499999998</v>
      </c>
      <c r="H95" s="58"/>
      <c r="I95" s="58"/>
      <c r="J95" s="58"/>
      <c r="K95" s="58"/>
      <c r="L95" s="58"/>
    </row>
    <row r="96" spans="1:12">
      <c r="C96" t="s">
        <v>557</v>
      </c>
      <c r="D96" s="171">
        <f t="shared" si="25"/>
        <v>5703869.6199999992</v>
      </c>
      <c r="H96" s="58"/>
      <c r="I96" s="58"/>
      <c r="J96" s="58"/>
      <c r="K96" s="58"/>
      <c r="L96" s="58"/>
    </row>
    <row r="97" spans="3:12">
      <c r="C97" t="s">
        <v>558</v>
      </c>
      <c r="D97" s="171">
        <f t="shared" si="25"/>
        <v>88360877.060000002</v>
      </c>
      <c r="H97" s="58"/>
      <c r="I97" s="58"/>
      <c r="J97" s="58"/>
      <c r="K97" s="58"/>
      <c r="L97" s="58"/>
    </row>
    <row r="98" spans="3:12">
      <c r="C98" t="s">
        <v>559</v>
      </c>
      <c r="D98" s="171">
        <f t="shared" si="25"/>
        <v>9747602.0500000007</v>
      </c>
      <c r="H98" s="58"/>
      <c r="I98" s="58"/>
      <c r="J98" s="58"/>
      <c r="K98" s="58"/>
      <c r="L98" s="58"/>
    </row>
    <row r="99" spans="3:12">
      <c r="C99" t="s">
        <v>560</v>
      </c>
      <c r="D99" s="171">
        <f t="shared" si="25"/>
        <v>87146502.609999999</v>
      </c>
      <c r="H99" s="58"/>
      <c r="I99" s="58"/>
      <c r="J99" s="58"/>
      <c r="K99" s="58"/>
      <c r="L99" s="58"/>
    </row>
    <row r="100" spans="3:12">
      <c r="C100" t="s">
        <v>561</v>
      </c>
      <c r="D100" s="171">
        <f t="shared" si="25"/>
        <v>60131256.400000006</v>
      </c>
      <c r="H100" s="58"/>
      <c r="I100" s="58"/>
      <c r="J100" s="58"/>
      <c r="K100" s="58"/>
      <c r="L100" s="58"/>
    </row>
    <row r="101" spans="3:12">
      <c r="C101" t="s">
        <v>562</v>
      </c>
      <c r="D101" s="171">
        <f t="shared" si="25"/>
        <v>82269.700000000012</v>
      </c>
      <c r="H101" s="58"/>
      <c r="I101" s="58"/>
      <c r="J101" s="58"/>
      <c r="K101" s="58"/>
      <c r="L101" s="58"/>
    </row>
    <row r="102" spans="3:12">
      <c r="C102" t="s">
        <v>563</v>
      </c>
      <c r="D102" s="171">
        <f t="shared" si="25"/>
        <v>853208.64</v>
      </c>
      <c r="H102" s="58"/>
      <c r="I102" s="58"/>
      <c r="J102" s="58"/>
      <c r="K102" s="58"/>
      <c r="L102" s="58"/>
    </row>
    <row r="103" spans="3:12">
      <c r="C103" t="s">
        <v>564</v>
      </c>
      <c r="D103" s="171">
        <f t="shared" si="25"/>
        <v>1052383.6300000001</v>
      </c>
      <c r="H103" s="58"/>
      <c r="I103" s="58"/>
      <c r="J103" s="58"/>
      <c r="K103" s="58"/>
      <c r="L103" s="58"/>
    </row>
    <row r="104" spans="3:12">
      <c r="C104" t="s">
        <v>565</v>
      </c>
      <c r="D104" s="171">
        <f t="shared" si="25"/>
        <v>172786296.99000001</v>
      </c>
      <c r="H104" s="58"/>
      <c r="I104" s="58"/>
      <c r="J104" s="58"/>
      <c r="K104" s="58"/>
      <c r="L104" s="58"/>
    </row>
    <row r="105" spans="3:12">
      <c r="C105" t="s">
        <v>566</v>
      </c>
      <c r="D105" s="171">
        <f t="shared" si="25"/>
        <v>80103580.550000027</v>
      </c>
      <c r="H105" s="58"/>
      <c r="I105" s="58"/>
      <c r="J105" s="58"/>
      <c r="K105" s="58"/>
      <c r="L105" s="58"/>
    </row>
    <row r="106" spans="3:12">
      <c r="C106" t="s">
        <v>567</v>
      </c>
      <c r="D106" s="171">
        <f t="shared" si="25"/>
        <v>86176195.990000114</v>
      </c>
      <c r="H106" s="58"/>
      <c r="I106" s="58"/>
      <c r="J106" s="58"/>
      <c r="K106" s="58"/>
      <c r="L106" s="58"/>
    </row>
    <row r="107" spans="3:12">
      <c r="C107" t="s">
        <v>568</v>
      </c>
      <c r="D107" s="171">
        <f t="shared" si="25"/>
        <v>20105792.080000006</v>
      </c>
      <c r="H107" s="58"/>
      <c r="I107" s="58"/>
      <c r="J107" s="58"/>
      <c r="K107" s="58"/>
      <c r="L107" s="58"/>
    </row>
    <row r="108" spans="3:12">
      <c r="C108" t="s">
        <v>569</v>
      </c>
      <c r="D108" s="171">
        <f t="shared" si="25"/>
        <v>90463545.960000008</v>
      </c>
      <c r="H108" s="58"/>
      <c r="I108" s="58"/>
      <c r="J108" s="58"/>
      <c r="K108" s="58"/>
      <c r="L108" s="58"/>
    </row>
    <row r="109" spans="3:12">
      <c r="C109" t="s">
        <v>570</v>
      </c>
      <c r="D109" s="171">
        <f t="shared" si="25"/>
        <v>73688080.839999989</v>
      </c>
      <c r="H109" s="58"/>
      <c r="I109" s="58"/>
      <c r="J109" s="58"/>
      <c r="K109" s="58"/>
      <c r="L109" s="58"/>
    </row>
    <row r="110" spans="3:12">
      <c r="C110" t="s">
        <v>571</v>
      </c>
      <c r="D110" s="171">
        <f t="shared" si="25"/>
        <v>20503277.64999998</v>
      </c>
      <c r="H110" s="58"/>
      <c r="I110" s="58"/>
      <c r="J110" s="58"/>
      <c r="K110" s="58"/>
      <c r="L110" s="58"/>
    </row>
    <row r="111" spans="3:12">
      <c r="C111" t="s">
        <v>572</v>
      </c>
      <c r="D111" s="171">
        <f t="shared" si="25"/>
        <v>13806007.749999996</v>
      </c>
      <c r="H111" s="58"/>
      <c r="I111" s="58"/>
      <c r="J111" s="58"/>
      <c r="K111" s="58"/>
      <c r="L111" s="58"/>
    </row>
    <row r="112" spans="3:12">
      <c r="C112" t="s">
        <v>573</v>
      </c>
      <c r="D112" s="171">
        <f t="shared" si="25"/>
        <v>6756485.4000000004</v>
      </c>
      <c r="H112" s="58"/>
      <c r="I112" s="58"/>
      <c r="J112" s="58"/>
      <c r="K112" s="58"/>
      <c r="L112" s="58"/>
    </row>
    <row r="113" spans="3:12">
      <c r="C113" t="s">
        <v>574</v>
      </c>
      <c r="D113" s="171">
        <f t="shared" si="25"/>
        <v>2377715.5</v>
      </c>
      <c r="H113" s="58"/>
      <c r="I113" s="58"/>
      <c r="J113" s="58"/>
      <c r="K113" s="58"/>
      <c r="L113" s="58"/>
    </row>
    <row r="114" spans="3:12">
      <c r="C114" t="s">
        <v>575</v>
      </c>
      <c r="D114" s="171">
        <f t="shared" si="25"/>
        <v>184775016.59999999</v>
      </c>
      <c r="H114" s="58"/>
      <c r="I114" s="58"/>
      <c r="J114" s="58"/>
      <c r="K114" s="58"/>
      <c r="L114" s="58"/>
    </row>
    <row r="115" spans="3:12">
      <c r="C115" t="s">
        <v>576</v>
      </c>
      <c r="D115" s="171">
        <f t="shared" si="25"/>
        <v>43672057.110000007</v>
      </c>
      <c r="H115" s="58"/>
      <c r="I115" s="58"/>
      <c r="J115" s="58"/>
      <c r="K115" s="58"/>
      <c r="L115" s="58"/>
    </row>
    <row r="116" spans="3:12">
      <c r="C116" t="s">
        <v>577</v>
      </c>
      <c r="D116" s="171">
        <f t="shared" si="25"/>
        <v>22479766.470000021</v>
      </c>
      <c r="H116" s="58"/>
      <c r="I116" s="58"/>
      <c r="J116" s="58"/>
      <c r="K116" s="58"/>
      <c r="L116" s="58"/>
    </row>
    <row r="117" spans="3:12">
      <c r="C117" t="s">
        <v>578</v>
      </c>
      <c r="D117" s="171">
        <f t="shared" si="25"/>
        <v>210943.86</v>
      </c>
      <c r="H117" s="58"/>
      <c r="I117" s="58"/>
      <c r="J117" s="58"/>
      <c r="K117" s="58"/>
      <c r="L117" s="58"/>
    </row>
    <row r="118" spans="3:12">
      <c r="C118" t="s">
        <v>579</v>
      </c>
      <c r="D118" s="171">
        <f t="shared" si="25"/>
        <v>8263181.6000000006</v>
      </c>
      <c r="H118" s="58"/>
      <c r="I118" s="58"/>
      <c r="J118" s="58"/>
      <c r="K118" s="58"/>
      <c r="L118" s="58"/>
    </row>
    <row r="119" spans="3:12">
      <c r="C119" t="s">
        <v>580</v>
      </c>
      <c r="D119" s="171">
        <f t="shared" si="25"/>
        <v>493371.12</v>
      </c>
      <c r="H119" s="58"/>
      <c r="I119" s="58"/>
      <c r="J119" s="58"/>
      <c r="K119" s="58"/>
      <c r="L119" s="58"/>
    </row>
    <row r="120" spans="3:12">
      <c r="C120" s="51" t="s">
        <v>581</v>
      </c>
      <c r="D120" s="171">
        <f t="shared" si="25"/>
        <v>368133.91</v>
      </c>
      <c r="H120" s="58"/>
      <c r="I120" s="58"/>
      <c r="J120" s="58"/>
      <c r="K120" s="58"/>
      <c r="L120" s="58"/>
    </row>
    <row r="121" spans="3:12">
      <c r="C121" s="51" t="s">
        <v>582</v>
      </c>
      <c r="D121" s="171">
        <f t="shared" si="25"/>
        <v>225527413.19000012</v>
      </c>
      <c r="H121" s="58"/>
      <c r="I121" s="58"/>
      <c r="J121" s="58"/>
      <c r="K121" s="58"/>
      <c r="L121" s="58"/>
    </row>
    <row r="122" spans="3:12">
      <c r="C122" s="51" t="s">
        <v>583</v>
      </c>
      <c r="D122" s="171">
        <f t="shared" si="25"/>
        <v>5284086.3900000006</v>
      </c>
      <c r="H122" s="58"/>
      <c r="I122" s="58"/>
      <c r="J122" s="58"/>
      <c r="K122" s="58"/>
      <c r="L122" s="58"/>
    </row>
    <row r="123" spans="3:12">
      <c r="C123" s="172" t="s">
        <v>34</v>
      </c>
      <c r="D123" s="173">
        <f>SUM(D84:D122)</f>
        <v>2811763800.3699994</v>
      </c>
      <c r="H123" s="58"/>
      <c r="I123" s="58"/>
      <c r="J123" s="58"/>
      <c r="K123" s="58"/>
      <c r="L123" s="58"/>
    </row>
    <row r="124" spans="3:12">
      <c r="H124" s="58"/>
      <c r="I124" s="58"/>
      <c r="J124" s="58"/>
      <c r="K124" s="58"/>
      <c r="L124" s="58"/>
    </row>
    <row r="125" spans="3:12">
      <c r="H125" s="58"/>
      <c r="I125" s="58"/>
      <c r="J125" s="58"/>
      <c r="K125" s="58"/>
      <c r="L125" s="58"/>
    </row>
    <row r="126" spans="3:12">
      <c r="H126" s="58"/>
      <c r="I126" s="58"/>
      <c r="J126" s="58"/>
      <c r="K126" s="58"/>
      <c r="L126" s="58"/>
    </row>
    <row r="127" spans="3:12">
      <c r="H127" s="58"/>
      <c r="I127" s="58"/>
      <c r="J127" s="58"/>
      <c r="K127" s="58"/>
      <c r="L127" s="58"/>
    </row>
    <row r="128" spans="3:12">
      <c r="H128" s="58"/>
      <c r="I128" s="58"/>
      <c r="J128" s="58"/>
      <c r="K128" s="58"/>
      <c r="L128" s="58"/>
    </row>
    <row r="129" spans="8:12">
      <c r="H129" s="58"/>
      <c r="I129" s="58"/>
      <c r="J129" s="58"/>
      <c r="K129" s="58"/>
      <c r="L129" s="58"/>
    </row>
    <row r="130" spans="8:12">
      <c r="H130" s="58"/>
      <c r="I130" s="58"/>
      <c r="J130" s="58"/>
      <c r="K130" s="58"/>
      <c r="L130" s="58"/>
    </row>
    <row r="131" spans="8:12">
      <c r="H131" s="58"/>
      <c r="I131" s="58"/>
      <c r="J131" s="58"/>
      <c r="K131" s="58"/>
      <c r="L131" s="58"/>
    </row>
    <row r="132" spans="8:12">
      <c r="H132" s="58"/>
      <c r="I132" s="58"/>
      <c r="J132" s="58"/>
      <c r="K132" s="58"/>
      <c r="L132" s="58"/>
    </row>
    <row r="133" spans="8:12">
      <c r="H133" s="58"/>
      <c r="I133" s="58"/>
      <c r="J133" s="58"/>
      <c r="K133" s="58"/>
      <c r="L133" s="58"/>
    </row>
  </sheetData>
  <mergeCells count="3">
    <mergeCell ref="Q7:T7"/>
    <mergeCell ref="N7:O7"/>
    <mergeCell ref="H7:L7"/>
  </mergeCells>
  <printOptions horizontalCentered="1"/>
  <pageMargins left="0.5" right="0.5" top="0.5" bottom="0.5" header="0.25" footer="0.25"/>
  <pageSetup scale="49" orientation="landscape" horizontalDpi="1200" verticalDpi="1200" r:id="rId1"/>
  <headerFooter>
    <oddFooter>&amp;L&amp;F&amp;RPage &amp;P of &amp;N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showGridLines="0" zoomScale="70" zoomScaleNormal="70" workbookViewId="0">
      <selection activeCell="C21" sqref="C21:J21"/>
    </sheetView>
  </sheetViews>
  <sheetFormatPr defaultColWidth="9.08984375" defaultRowHeight="14"/>
  <cols>
    <col min="1" max="1" width="5.6328125" style="51" customWidth="1"/>
    <col min="2" max="2" width="1.6328125" style="51" customWidth="1"/>
    <col min="3" max="3" width="9.08984375" style="51"/>
    <col min="4" max="4" width="47.36328125" style="51" bestFit="1" customWidth="1"/>
    <col min="5" max="5" width="1.6328125" style="51" customWidth="1"/>
    <col min="6" max="6" width="60.6328125" style="51" bestFit="1" customWidth="1"/>
    <col min="7" max="7" width="1.6328125" style="52" customWidth="1"/>
    <col min="8" max="8" width="13.36328125" style="51" bestFit="1" customWidth="1"/>
    <col min="9" max="9" width="15.36328125" style="51" bestFit="1" customWidth="1"/>
    <col min="10" max="10" width="13.36328125" style="51" bestFit="1" customWidth="1"/>
    <col min="11" max="11" width="1.6328125" style="51" customWidth="1"/>
    <col min="12" max="12" width="78.54296875" style="51" bestFit="1" customWidth="1"/>
    <col min="13" max="16384" width="9.08984375" style="51"/>
  </cols>
  <sheetData>
    <row r="1" spans="1:12">
      <c r="A1" s="1" t="s">
        <v>221</v>
      </c>
      <c r="B1" s="1"/>
    </row>
    <row r="2" spans="1:12">
      <c r="A2" s="1" t="str">
        <f>'Appendix B - COS'!$A$2</f>
        <v>Grant County Public Utility District</v>
      </c>
      <c r="B2" s="1"/>
    </row>
    <row r="3" spans="1:12">
      <c r="A3" s="1" t="s">
        <v>120</v>
      </c>
      <c r="B3" s="1"/>
    </row>
    <row r="4" spans="1:12">
      <c r="A4" s="1" t="str">
        <f>'Appendix B - COS'!$A$4</f>
        <v>Fiscal Year Ending December 31, 2017</v>
      </c>
      <c r="B4" s="1"/>
    </row>
    <row r="5" spans="1:12">
      <c r="A5" s="1" t="str">
        <f>'Appendix B - COS'!$A$5</f>
        <v>Draft of June 19, 2019</v>
      </c>
      <c r="B5" s="1"/>
    </row>
    <row r="6" spans="1:12">
      <c r="A6" s="1"/>
      <c r="B6" s="1"/>
    </row>
    <row r="7" spans="1:12">
      <c r="A7" s="4"/>
      <c r="B7" s="4"/>
      <c r="C7" s="53"/>
      <c r="D7" s="53"/>
      <c r="E7" s="53"/>
      <c r="F7" s="53"/>
      <c r="G7" s="54"/>
      <c r="H7" s="138"/>
      <c r="I7" s="139" t="s">
        <v>333</v>
      </c>
      <c r="J7" s="138"/>
      <c r="K7" s="53" t="s">
        <v>52</v>
      </c>
    </row>
    <row r="8" spans="1:12">
      <c r="A8" s="9" t="s">
        <v>43</v>
      </c>
      <c r="B8" s="9"/>
      <c r="C8" s="55" t="s">
        <v>94</v>
      </c>
      <c r="D8" s="55"/>
      <c r="E8" s="55"/>
      <c r="F8" s="55"/>
      <c r="G8" s="56"/>
      <c r="H8" s="55" t="s">
        <v>34</v>
      </c>
      <c r="I8" s="67" t="s">
        <v>190</v>
      </c>
      <c r="J8" s="55" t="s">
        <v>191</v>
      </c>
      <c r="K8" s="53"/>
    </row>
    <row r="9" spans="1:12" ht="14.5" thickBot="1">
      <c r="A9" s="11" t="s">
        <v>1</v>
      </c>
      <c r="B9" s="12"/>
      <c r="C9" s="57" t="s">
        <v>95</v>
      </c>
      <c r="D9" s="57" t="s">
        <v>53</v>
      </c>
      <c r="E9" s="55"/>
      <c r="F9" s="57" t="s">
        <v>54</v>
      </c>
      <c r="G9" s="56"/>
      <c r="H9" s="57" t="s">
        <v>23</v>
      </c>
      <c r="I9" s="57" t="s">
        <v>217</v>
      </c>
      <c r="J9" s="57" t="s">
        <v>23</v>
      </c>
      <c r="K9" s="53"/>
      <c r="L9" s="57" t="s">
        <v>220</v>
      </c>
    </row>
    <row r="10" spans="1:12">
      <c r="A10" s="4"/>
      <c r="B10" s="4"/>
      <c r="C10" s="7" t="s">
        <v>2</v>
      </c>
      <c r="D10" s="7" t="s">
        <v>3</v>
      </c>
      <c r="F10" s="7" t="s">
        <v>4</v>
      </c>
      <c r="G10" s="51"/>
      <c r="H10" s="7" t="s">
        <v>5</v>
      </c>
      <c r="I10" s="7" t="s">
        <v>6</v>
      </c>
      <c r="J10" s="7" t="s">
        <v>7</v>
      </c>
      <c r="L10" s="7" t="s">
        <v>117</v>
      </c>
    </row>
    <row r="11" spans="1:12">
      <c r="J11" s="62" t="s">
        <v>193</v>
      </c>
    </row>
    <row r="12" spans="1:12">
      <c r="H12" s="58"/>
      <c r="I12" s="58"/>
      <c r="J12" s="58"/>
    </row>
    <row r="13" spans="1:12">
      <c r="D13" s="53" t="s">
        <v>136</v>
      </c>
      <c r="H13" s="58"/>
      <c r="I13" s="58"/>
      <c r="J13" s="58"/>
    </row>
    <row r="14" spans="1:12">
      <c r="A14" s="16">
        <f>IF(ISNUMBER(H14),MAX(A$11:A13)+1,"")</f>
        <v>1</v>
      </c>
      <c r="C14" s="51">
        <v>560</v>
      </c>
      <c r="D14" s="51" t="s">
        <v>206</v>
      </c>
      <c r="F14" s="51" t="s">
        <v>121</v>
      </c>
      <c r="H14" s="61">
        <v>102759.02</v>
      </c>
      <c r="I14" s="61">
        <v>0</v>
      </c>
      <c r="J14" s="58">
        <f t="shared" ref="J14:J28" si="0">H14+I14</f>
        <v>102759.02</v>
      </c>
    </row>
    <row r="15" spans="1:12">
      <c r="A15" s="16">
        <f>IF(ISNUMBER(H15),MAX(A$11:A14)+1,"")</f>
        <v>2</v>
      </c>
      <c r="C15" s="51">
        <v>561</v>
      </c>
      <c r="D15" s="51" t="s">
        <v>207</v>
      </c>
      <c r="F15" s="51" t="s">
        <v>122</v>
      </c>
      <c r="H15" s="61">
        <v>49309.23</v>
      </c>
      <c r="I15" s="61">
        <v>0</v>
      </c>
      <c r="J15" s="58">
        <f t="shared" si="0"/>
        <v>49309.23</v>
      </c>
    </row>
    <row r="16" spans="1:12">
      <c r="A16" s="16">
        <f>IF(ISNUMBER(H16),MAX(A$11:A15)+1,"")</f>
        <v>3</v>
      </c>
      <c r="C16" s="51">
        <v>561</v>
      </c>
      <c r="D16" s="51" t="s">
        <v>207</v>
      </c>
      <c r="F16" s="51" t="s">
        <v>123</v>
      </c>
      <c r="H16" s="61">
        <v>1015363.36</v>
      </c>
      <c r="I16" s="61">
        <v>0</v>
      </c>
      <c r="J16" s="58">
        <f t="shared" si="0"/>
        <v>1015363.36</v>
      </c>
    </row>
    <row r="17" spans="1:10">
      <c r="A17" s="16">
        <f>IF(ISNUMBER(H17),MAX(A$11:A16)+1,"")</f>
        <v>4</v>
      </c>
      <c r="C17" s="51">
        <v>561.5</v>
      </c>
      <c r="D17" s="51" t="s">
        <v>208</v>
      </c>
      <c r="F17" s="51" t="s">
        <v>124</v>
      </c>
      <c r="H17" s="61">
        <v>972.09</v>
      </c>
      <c r="I17" s="61">
        <v>0</v>
      </c>
      <c r="J17" s="58">
        <f t="shared" si="0"/>
        <v>972.09</v>
      </c>
    </row>
    <row r="18" spans="1:10">
      <c r="A18" s="16">
        <f>IF(ISNUMBER(H18),MAX(A$11:A17)+1,"")</f>
        <v>5</v>
      </c>
      <c r="C18" s="51">
        <v>561.6</v>
      </c>
      <c r="D18" s="51" t="s">
        <v>209</v>
      </c>
      <c r="F18" s="51" t="s">
        <v>125</v>
      </c>
      <c r="H18" s="61">
        <v>633.89</v>
      </c>
      <c r="I18" s="61">
        <v>0</v>
      </c>
      <c r="J18" s="58">
        <f t="shared" si="0"/>
        <v>633.89</v>
      </c>
    </row>
    <row r="19" spans="1:10">
      <c r="A19" s="16">
        <f>IF(ISNUMBER(H19),MAX(A$11:A18)+1,"")</f>
        <v>6</v>
      </c>
      <c r="C19" s="51">
        <v>562</v>
      </c>
      <c r="D19" s="51" t="s">
        <v>210</v>
      </c>
      <c r="F19" s="51" t="s">
        <v>126</v>
      </c>
      <c r="H19" s="61">
        <v>2405.35</v>
      </c>
      <c r="I19" s="61">
        <v>0</v>
      </c>
      <c r="J19" s="58">
        <f t="shared" si="0"/>
        <v>2405.35</v>
      </c>
    </row>
    <row r="20" spans="1:10">
      <c r="A20" s="16">
        <f>IF(ISNUMBER(H20),MAX(A$11:A19)+1,"")</f>
        <v>7</v>
      </c>
      <c r="C20" s="51">
        <v>563</v>
      </c>
      <c r="D20" s="51" t="s">
        <v>211</v>
      </c>
      <c r="F20" s="51" t="s">
        <v>127</v>
      </c>
      <c r="H20" s="61">
        <v>6013.37</v>
      </c>
      <c r="I20" s="61">
        <v>0</v>
      </c>
      <c r="J20" s="58">
        <f t="shared" si="0"/>
        <v>6013.37</v>
      </c>
    </row>
    <row r="21" spans="1:10">
      <c r="A21" s="16">
        <f>IF(ISNUMBER(H21),MAX(A$11:A20)+1,"")</f>
        <v>8</v>
      </c>
      <c r="C21" s="51">
        <v>565</v>
      </c>
      <c r="D21" s="51" t="s">
        <v>212</v>
      </c>
      <c r="F21" s="51" t="s">
        <v>128</v>
      </c>
      <c r="H21" s="61">
        <v>572158.73</v>
      </c>
      <c r="I21" s="61">
        <v>0</v>
      </c>
      <c r="J21" s="58">
        <f t="shared" si="0"/>
        <v>572158.73</v>
      </c>
    </row>
    <row r="22" spans="1:10">
      <c r="A22" s="16">
        <f>IF(ISNUMBER(H22),MAX(A$11:A21)+1,"")</f>
        <v>9</v>
      </c>
      <c r="C22" s="51">
        <v>566</v>
      </c>
      <c r="D22" s="51" t="s">
        <v>213</v>
      </c>
      <c r="F22" s="51" t="s">
        <v>129</v>
      </c>
      <c r="H22" s="61">
        <v>267559.62</v>
      </c>
      <c r="I22" s="61">
        <v>0</v>
      </c>
      <c r="J22" s="58">
        <f t="shared" si="0"/>
        <v>267559.62</v>
      </c>
    </row>
    <row r="23" spans="1:10">
      <c r="A23" s="16">
        <f>IF(ISNUMBER(H23),MAX(A$11:A22)+1,"")</f>
        <v>10</v>
      </c>
      <c r="C23" s="51">
        <v>568</v>
      </c>
      <c r="D23" s="51" t="s">
        <v>214</v>
      </c>
      <c r="F23" s="51" t="s">
        <v>130</v>
      </c>
      <c r="H23" s="61">
        <v>40593.5</v>
      </c>
      <c r="I23" s="61">
        <v>0</v>
      </c>
      <c r="J23" s="58">
        <f t="shared" si="0"/>
        <v>40593.5</v>
      </c>
    </row>
    <row r="24" spans="1:10">
      <c r="A24" s="16">
        <f>IF(ISNUMBER(H24),MAX(A$11:A23)+1,"")</f>
        <v>11</v>
      </c>
      <c r="C24" s="51">
        <v>570</v>
      </c>
      <c r="D24" s="51" t="s">
        <v>215</v>
      </c>
      <c r="F24" s="51" t="s">
        <v>131</v>
      </c>
      <c r="H24" s="61">
        <v>247012.77</v>
      </c>
      <c r="I24" s="61">
        <v>0</v>
      </c>
      <c r="J24" s="58">
        <f t="shared" si="0"/>
        <v>247012.77</v>
      </c>
    </row>
    <row r="25" spans="1:10">
      <c r="A25" s="16">
        <f>IF(ISNUMBER(H25),MAX(A$11:A24)+1,"")</f>
        <v>12</v>
      </c>
      <c r="C25" s="51">
        <v>571</v>
      </c>
      <c r="D25" s="51" t="s">
        <v>216</v>
      </c>
      <c r="F25" s="51" t="s">
        <v>132</v>
      </c>
      <c r="H25" s="61">
        <v>82758.37</v>
      </c>
      <c r="I25" s="61">
        <v>0</v>
      </c>
      <c r="J25" s="58">
        <f t="shared" si="0"/>
        <v>82758.37</v>
      </c>
    </row>
    <row r="26" spans="1:10">
      <c r="A26" s="16">
        <f>IF(ISNUMBER(H26),MAX(A$11:A25)+1,"")</f>
        <v>13</v>
      </c>
      <c r="C26" s="51">
        <v>561</v>
      </c>
      <c r="D26" s="51" t="s">
        <v>207</v>
      </c>
      <c r="F26" s="51" t="s">
        <v>133</v>
      </c>
      <c r="H26" s="61">
        <v>2841085.63</v>
      </c>
      <c r="I26" s="61">
        <v>0</v>
      </c>
      <c r="J26" s="58">
        <f t="shared" si="0"/>
        <v>2841085.63</v>
      </c>
    </row>
    <row r="27" spans="1:10">
      <c r="A27" s="16">
        <f>IF(ISNUMBER(H27),MAX(A$11:A26)+1,"")</f>
        <v>14</v>
      </c>
      <c r="C27" s="51">
        <v>567</v>
      </c>
      <c r="D27" s="51" t="s">
        <v>205</v>
      </c>
      <c r="F27" s="51" t="s">
        <v>134</v>
      </c>
      <c r="H27" s="61">
        <v>6939.41</v>
      </c>
      <c r="I27" s="61">
        <v>0</v>
      </c>
      <c r="J27" s="58">
        <f t="shared" si="0"/>
        <v>6939.41</v>
      </c>
    </row>
    <row r="28" spans="1:10">
      <c r="A28" s="16">
        <f>IF(ISNUMBER(H28),MAX(A$11:A27)+1,"")</f>
        <v>15</v>
      </c>
      <c r="C28" s="51">
        <v>570</v>
      </c>
      <c r="D28" s="51" t="s">
        <v>215</v>
      </c>
      <c r="F28" s="51" t="s">
        <v>135</v>
      </c>
      <c r="H28" s="61">
        <v>143408.51</v>
      </c>
      <c r="I28" s="61">
        <v>0</v>
      </c>
      <c r="J28" s="58">
        <f t="shared" si="0"/>
        <v>143408.51</v>
      </c>
    </row>
    <row r="29" spans="1:10">
      <c r="A29" s="16">
        <f>IF(ISNUMBER(H29),MAX(A$11:A28)+1,"")</f>
        <v>16</v>
      </c>
      <c r="D29" s="60" t="s">
        <v>137</v>
      </c>
      <c r="H29" s="59">
        <f>SUM(H14:H28)</f>
        <v>5378972.8499999996</v>
      </c>
      <c r="I29" s="59">
        <f>SUM(I14:I28)</f>
        <v>0</v>
      </c>
      <c r="J29" s="59">
        <f>SUM(J14:J28)</f>
        <v>5378972.8499999996</v>
      </c>
    </row>
    <row r="30" spans="1:10">
      <c r="A30" s="16" t="str">
        <f>IF(ISNUMBER(H30),MAX(A$11:A29)+1,"")</f>
        <v/>
      </c>
      <c r="H30" s="58"/>
      <c r="I30" s="58"/>
      <c r="J30" s="58"/>
    </row>
    <row r="31" spans="1:10">
      <c r="A31" s="16" t="str">
        <f>IF(ISNUMBER(H31),MAX(A$11:A30)+1,"")</f>
        <v/>
      </c>
      <c r="D31" s="53" t="s">
        <v>138</v>
      </c>
      <c r="H31" s="58"/>
      <c r="I31" s="58"/>
      <c r="J31" s="58"/>
    </row>
    <row r="32" spans="1:10">
      <c r="A32" s="16">
        <f>IF(ISNUMBER(H32),MAX(A$11:A31)+1,"")</f>
        <v>17</v>
      </c>
      <c r="C32" s="51">
        <v>920</v>
      </c>
      <c r="D32" s="51" t="s">
        <v>194</v>
      </c>
      <c r="F32" s="51" t="s">
        <v>139</v>
      </c>
      <c r="H32" s="61">
        <v>178113.06</v>
      </c>
      <c r="I32" s="61">
        <v>0</v>
      </c>
      <c r="J32" s="58">
        <f>H32+I32</f>
        <v>178113.06</v>
      </c>
    </row>
    <row r="33" spans="1:10">
      <c r="A33" s="16">
        <f>IF(ISNUMBER(H33),MAX(A$11:A32)+1,"")</f>
        <v>18</v>
      </c>
      <c r="C33" s="51">
        <v>920</v>
      </c>
      <c r="D33" s="51" t="s">
        <v>194</v>
      </c>
      <c r="F33" s="51" t="s">
        <v>140</v>
      </c>
      <c r="H33" s="61">
        <v>67756.149999999994</v>
      </c>
      <c r="I33" s="61">
        <v>0</v>
      </c>
      <c r="J33" s="58">
        <f t="shared" ref="J33:J82" si="1">H33+I33</f>
        <v>67756.149999999994</v>
      </c>
    </row>
    <row r="34" spans="1:10">
      <c r="A34" s="16">
        <f>IF(ISNUMBER(H34),MAX(A$11:A33)+1,"")</f>
        <v>19</v>
      </c>
      <c r="C34" s="51">
        <v>920</v>
      </c>
      <c r="D34" s="51" t="s">
        <v>194</v>
      </c>
      <c r="F34" s="51" t="s">
        <v>141</v>
      </c>
      <c r="H34" s="61">
        <v>55962.79</v>
      </c>
      <c r="I34" s="61">
        <v>0</v>
      </c>
      <c r="J34" s="58">
        <f t="shared" si="1"/>
        <v>55962.79</v>
      </c>
    </row>
    <row r="35" spans="1:10">
      <c r="A35" s="16">
        <f>IF(ISNUMBER(H35),MAX(A$11:A34)+1,"")</f>
        <v>20</v>
      </c>
      <c r="C35" s="51">
        <v>921</v>
      </c>
      <c r="D35" s="51" t="s">
        <v>195</v>
      </c>
      <c r="F35" s="51" t="s">
        <v>142</v>
      </c>
      <c r="H35" s="61">
        <v>6965610.96</v>
      </c>
      <c r="I35" s="61">
        <v>0</v>
      </c>
      <c r="J35" s="58">
        <f t="shared" si="1"/>
        <v>6965610.96</v>
      </c>
    </row>
    <row r="36" spans="1:10">
      <c r="A36" s="16">
        <f>IF(ISNUMBER(H36),MAX(A$11:A35)+1,"")</f>
        <v>21</v>
      </c>
      <c r="C36" s="51">
        <v>921</v>
      </c>
      <c r="D36" s="51" t="s">
        <v>195</v>
      </c>
      <c r="F36" s="51" t="s">
        <v>143</v>
      </c>
      <c r="H36" s="61">
        <v>16395.02</v>
      </c>
      <c r="I36" s="61">
        <v>0</v>
      </c>
      <c r="J36" s="58">
        <f t="shared" si="1"/>
        <v>16395.02</v>
      </c>
    </row>
    <row r="37" spans="1:10">
      <c r="A37" s="16">
        <f>IF(ISNUMBER(H37),MAX(A$11:A36)+1,"")</f>
        <v>22</v>
      </c>
      <c r="C37" s="51">
        <v>921</v>
      </c>
      <c r="D37" s="51" t="s">
        <v>195</v>
      </c>
      <c r="F37" s="51" t="s">
        <v>144</v>
      </c>
      <c r="H37" s="61">
        <v>28150.3</v>
      </c>
      <c r="I37" s="61">
        <v>0</v>
      </c>
      <c r="J37" s="58">
        <f t="shared" si="1"/>
        <v>28150.3</v>
      </c>
    </row>
    <row r="38" spans="1:10">
      <c r="A38" s="16">
        <f>IF(ISNUMBER(H38),MAX(A$11:A37)+1,"")</f>
        <v>23</v>
      </c>
      <c r="C38" s="51">
        <v>921</v>
      </c>
      <c r="D38" s="51" t="s">
        <v>195</v>
      </c>
      <c r="F38" s="51" t="s">
        <v>145</v>
      </c>
      <c r="H38" s="61">
        <v>32743.919999999998</v>
      </c>
      <c r="I38" s="61">
        <v>0</v>
      </c>
      <c r="J38" s="58">
        <f t="shared" si="1"/>
        <v>32743.919999999998</v>
      </c>
    </row>
    <row r="39" spans="1:10">
      <c r="A39" s="16">
        <f>IF(ISNUMBER(H39),MAX(A$11:A38)+1,"")</f>
        <v>24</v>
      </c>
      <c r="C39" s="51">
        <v>923</v>
      </c>
      <c r="D39" s="51" t="s">
        <v>196</v>
      </c>
      <c r="F39" s="51" t="s">
        <v>146</v>
      </c>
      <c r="H39" s="61">
        <v>243143.31</v>
      </c>
      <c r="I39" s="61">
        <v>0</v>
      </c>
      <c r="J39" s="58">
        <f t="shared" si="1"/>
        <v>243143.31</v>
      </c>
    </row>
    <row r="40" spans="1:10">
      <c r="A40" s="16">
        <f>IF(ISNUMBER(H40),MAX(A$11:A39)+1,"")</f>
        <v>25</v>
      </c>
      <c r="C40" s="51">
        <v>923</v>
      </c>
      <c r="D40" s="51" t="s">
        <v>196</v>
      </c>
      <c r="F40" s="51" t="s">
        <v>147</v>
      </c>
      <c r="H40" s="61">
        <v>98168.01</v>
      </c>
      <c r="I40" s="61">
        <v>0</v>
      </c>
      <c r="J40" s="58">
        <f t="shared" si="1"/>
        <v>98168.01</v>
      </c>
    </row>
    <row r="41" spans="1:10">
      <c r="A41" s="16">
        <f>IF(ISNUMBER(H41),MAX(A$11:A40)+1,"")</f>
        <v>26</v>
      </c>
      <c r="C41" s="51">
        <v>923</v>
      </c>
      <c r="D41" s="51" t="s">
        <v>196</v>
      </c>
      <c r="F41" s="51" t="s">
        <v>148</v>
      </c>
      <c r="H41" s="61">
        <v>453010.36</v>
      </c>
      <c r="I41" s="61">
        <v>0</v>
      </c>
      <c r="J41" s="58">
        <f t="shared" si="1"/>
        <v>453010.36</v>
      </c>
    </row>
    <row r="42" spans="1:10">
      <c r="A42" s="16">
        <f>IF(ISNUMBER(H42),MAX(A$11:A41)+1,"")</f>
        <v>27</v>
      </c>
      <c r="C42" s="51">
        <v>924</v>
      </c>
      <c r="D42" s="51" t="s">
        <v>197</v>
      </c>
      <c r="F42" s="51" t="s">
        <v>149</v>
      </c>
      <c r="H42" s="61">
        <v>154944.92000000001</v>
      </c>
      <c r="I42" s="61">
        <v>0</v>
      </c>
      <c r="J42" s="58">
        <f t="shared" si="1"/>
        <v>154944.92000000001</v>
      </c>
    </row>
    <row r="43" spans="1:10">
      <c r="A43" s="16">
        <f>IF(ISNUMBER(H43),MAX(A$11:A42)+1,"")</f>
        <v>28</v>
      </c>
      <c r="C43" s="51">
        <v>924</v>
      </c>
      <c r="D43" s="51" t="s">
        <v>197</v>
      </c>
      <c r="F43" s="51" t="s">
        <v>150</v>
      </c>
      <c r="H43" s="61">
        <v>11571.58</v>
      </c>
      <c r="I43" s="61">
        <v>0</v>
      </c>
      <c r="J43" s="58">
        <f t="shared" si="1"/>
        <v>11571.58</v>
      </c>
    </row>
    <row r="44" spans="1:10">
      <c r="A44" s="16">
        <f>IF(ISNUMBER(H44),MAX(A$11:A43)+1,"")</f>
        <v>29</v>
      </c>
      <c r="C44" s="51">
        <v>924</v>
      </c>
      <c r="D44" s="51" t="s">
        <v>197</v>
      </c>
      <c r="F44" s="51" t="s">
        <v>151</v>
      </c>
      <c r="H44" s="61">
        <v>9695.2000000000007</v>
      </c>
      <c r="I44" s="61">
        <v>0</v>
      </c>
      <c r="J44" s="58">
        <f t="shared" si="1"/>
        <v>9695.2000000000007</v>
      </c>
    </row>
    <row r="45" spans="1:10">
      <c r="A45" s="16">
        <f>IF(ISNUMBER(H45),MAX(A$11:A44)+1,"")</f>
        <v>30</v>
      </c>
      <c r="C45" s="51">
        <v>925</v>
      </c>
      <c r="D45" s="51" t="s">
        <v>198</v>
      </c>
      <c r="F45" s="51" t="s">
        <v>152</v>
      </c>
      <c r="H45" s="61">
        <v>705120.54</v>
      </c>
      <c r="I45" s="61">
        <v>0</v>
      </c>
      <c r="J45" s="58">
        <f t="shared" si="1"/>
        <v>705120.54</v>
      </c>
    </row>
    <row r="46" spans="1:10">
      <c r="A46" s="16">
        <f>IF(ISNUMBER(H46),MAX(A$11:A45)+1,"")</f>
        <v>31</v>
      </c>
      <c r="C46" s="51">
        <v>925</v>
      </c>
      <c r="D46" s="51" t="s">
        <v>198</v>
      </c>
      <c r="F46" s="51" t="s">
        <v>153</v>
      </c>
      <c r="H46" s="61">
        <v>285397.59999999998</v>
      </c>
      <c r="I46" s="61">
        <v>0</v>
      </c>
      <c r="J46" s="58">
        <f t="shared" si="1"/>
        <v>285397.59999999998</v>
      </c>
    </row>
    <row r="47" spans="1:10">
      <c r="A47" s="16">
        <f>IF(ISNUMBER(H47),MAX(A$11:A46)+1,"")</f>
        <v>32</v>
      </c>
      <c r="C47" s="51">
        <v>925</v>
      </c>
      <c r="D47" s="51" t="s">
        <v>198</v>
      </c>
      <c r="F47" s="51" t="s">
        <v>154</v>
      </c>
      <c r="H47" s="61">
        <v>1094.81</v>
      </c>
      <c r="I47" s="61">
        <v>0</v>
      </c>
      <c r="J47" s="58">
        <f t="shared" si="1"/>
        <v>1094.81</v>
      </c>
    </row>
    <row r="48" spans="1:10">
      <c r="A48" s="16">
        <f>IF(ISNUMBER(H48),MAX(A$11:A47)+1,"")</f>
        <v>33</v>
      </c>
      <c r="C48" s="51">
        <v>926</v>
      </c>
      <c r="D48" s="51" t="s">
        <v>199</v>
      </c>
      <c r="F48" s="51" t="s">
        <v>155</v>
      </c>
      <c r="H48" s="61">
        <v>-893399.39</v>
      </c>
      <c r="I48" s="61">
        <v>0</v>
      </c>
      <c r="J48" s="58">
        <f t="shared" si="1"/>
        <v>-893399.39</v>
      </c>
    </row>
    <row r="49" spans="1:12">
      <c r="A49" s="16">
        <f>IF(ISNUMBER(H49),MAX(A$11:A48)+1,"")</f>
        <v>34</v>
      </c>
      <c r="C49" s="51">
        <v>926</v>
      </c>
      <c r="D49" s="51" t="s">
        <v>199</v>
      </c>
      <c r="F49" s="51" t="s">
        <v>156</v>
      </c>
      <c r="H49" s="61">
        <v>-735396.28</v>
      </c>
      <c r="I49" s="61">
        <v>0</v>
      </c>
      <c r="J49" s="58">
        <f t="shared" si="1"/>
        <v>-735396.28</v>
      </c>
    </row>
    <row r="50" spans="1:12">
      <c r="A50" s="16">
        <f>IF(ISNUMBER(H50),MAX(A$11:A49)+1,"")</f>
        <v>35</v>
      </c>
      <c r="C50" s="51">
        <v>926</v>
      </c>
      <c r="D50" s="51" t="s">
        <v>199</v>
      </c>
      <c r="F50" s="51" t="s">
        <v>157</v>
      </c>
      <c r="H50" s="61">
        <v>0</v>
      </c>
      <c r="I50" s="61">
        <v>0</v>
      </c>
      <c r="J50" s="58">
        <f t="shared" si="1"/>
        <v>0</v>
      </c>
    </row>
    <row r="51" spans="1:12">
      <c r="A51" s="16">
        <f>IF(ISNUMBER(H51),MAX(A$11:A50)+1,"")</f>
        <v>36</v>
      </c>
      <c r="C51" s="51">
        <v>926</v>
      </c>
      <c r="D51" s="51" t="s">
        <v>199</v>
      </c>
      <c r="F51" s="51" t="s">
        <v>158</v>
      </c>
      <c r="H51" s="61">
        <v>119873.56</v>
      </c>
      <c r="I51" s="61">
        <v>0</v>
      </c>
      <c r="J51" s="58">
        <f t="shared" si="1"/>
        <v>119873.56</v>
      </c>
    </row>
    <row r="52" spans="1:12">
      <c r="A52" s="16">
        <f>IF(ISNUMBER(H52),MAX(A$11:A51)+1,"")</f>
        <v>37</v>
      </c>
      <c r="C52" s="51">
        <v>928</v>
      </c>
      <c r="D52" s="51" t="s">
        <v>200</v>
      </c>
      <c r="F52" s="51" t="s">
        <v>159</v>
      </c>
      <c r="H52" s="61">
        <v>9181.99</v>
      </c>
      <c r="I52" s="61">
        <v>0</v>
      </c>
      <c r="J52" s="58">
        <f t="shared" si="1"/>
        <v>9181.99</v>
      </c>
    </row>
    <row r="53" spans="1:12">
      <c r="A53" s="16">
        <f>IF(ISNUMBER(H53),MAX(A$11:A52)+1,"")</f>
        <v>38</v>
      </c>
      <c r="C53" s="51">
        <v>928</v>
      </c>
      <c r="D53" s="51" t="s">
        <v>200</v>
      </c>
      <c r="F53" s="51" t="s">
        <v>160</v>
      </c>
      <c r="H53" s="61">
        <v>4763.95</v>
      </c>
      <c r="I53" s="61">
        <v>0</v>
      </c>
      <c r="J53" s="58">
        <f t="shared" si="1"/>
        <v>4763.95</v>
      </c>
    </row>
    <row r="54" spans="1:12">
      <c r="A54" s="16">
        <f>IF(ISNUMBER(H54),MAX(A$11:A53)+1,"")</f>
        <v>39</v>
      </c>
      <c r="C54" s="51">
        <v>929</v>
      </c>
      <c r="D54" s="51" t="s">
        <v>201</v>
      </c>
      <c r="F54" s="51" t="s">
        <v>161</v>
      </c>
      <c r="H54" s="61">
        <v>-750807.81</v>
      </c>
      <c r="I54" s="61">
        <v>0</v>
      </c>
      <c r="J54" s="58">
        <f t="shared" si="1"/>
        <v>-750807.81</v>
      </c>
    </row>
    <row r="55" spans="1:12">
      <c r="A55" s="16">
        <f>IF(ISNUMBER(H55),MAX(A$11:A54)+1,"")</f>
        <v>40</v>
      </c>
      <c r="C55" s="51">
        <v>929</v>
      </c>
      <c r="D55" s="51" t="s">
        <v>201</v>
      </c>
      <c r="F55" s="51" t="s">
        <v>162</v>
      </c>
      <c r="H55" s="61">
        <v>-186536.64</v>
      </c>
      <c r="I55" s="61">
        <v>0</v>
      </c>
      <c r="J55" s="58">
        <f t="shared" si="1"/>
        <v>-186536.64</v>
      </c>
    </row>
    <row r="56" spans="1:12">
      <c r="A56" s="16">
        <f>IF(ISNUMBER(H56),MAX(A$11:A55)+1,"")</f>
        <v>41</v>
      </c>
      <c r="C56" s="51">
        <v>929</v>
      </c>
      <c r="D56" s="51" t="s">
        <v>201</v>
      </c>
      <c r="F56" s="51" t="s">
        <v>163</v>
      </c>
      <c r="H56" s="61">
        <v>-2741567.15</v>
      </c>
      <c r="I56" s="61">
        <v>0</v>
      </c>
      <c r="J56" s="58">
        <f t="shared" si="1"/>
        <v>-2741567.15</v>
      </c>
    </row>
    <row r="57" spans="1:12">
      <c r="A57" s="16">
        <f>IF(ISNUMBER(H57),MAX(A$11:A56)+1,"")</f>
        <v>42</v>
      </c>
      <c r="C57" s="51">
        <v>930.2</v>
      </c>
      <c r="D57" s="51" t="s">
        <v>202</v>
      </c>
      <c r="F57" s="51" t="s">
        <v>164</v>
      </c>
      <c r="H57" s="61">
        <v>1957833.06</v>
      </c>
      <c r="I57" s="61">
        <v>0</v>
      </c>
      <c r="J57" s="58">
        <f t="shared" si="1"/>
        <v>1957833.06</v>
      </c>
    </row>
    <row r="58" spans="1:12">
      <c r="A58" s="16">
        <f>IF(ISNUMBER(H58),MAX(A$11:A57)+1,"")</f>
        <v>43</v>
      </c>
      <c r="C58" s="51">
        <v>930.1</v>
      </c>
      <c r="D58" s="51" t="s">
        <v>203</v>
      </c>
      <c r="F58" s="51" t="s">
        <v>165</v>
      </c>
      <c r="H58" s="61">
        <v>728479.6</v>
      </c>
      <c r="I58" s="61">
        <v>-728479.6</v>
      </c>
      <c r="J58" s="58">
        <f t="shared" si="1"/>
        <v>0</v>
      </c>
      <c r="L58" s="51" t="s">
        <v>340</v>
      </c>
    </row>
    <row r="59" spans="1:12">
      <c r="A59" s="16">
        <f>IF(ISNUMBER(H59),MAX(A$11:A58)+1,"")</f>
        <v>44</v>
      </c>
      <c r="C59" s="51">
        <v>935</v>
      </c>
      <c r="D59" s="51" t="s">
        <v>204</v>
      </c>
      <c r="F59" s="51" t="s">
        <v>166</v>
      </c>
      <c r="H59" s="61">
        <v>2841819.69</v>
      </c>
      <c r="I59" s="61">
        <v>0</v>
      </c>
      <c r="J59" s="58">
        <f t="shared" si="1"/>
        <v>2841819.69</v>
      </c>
    </row>
    <row r="60" spans="1:12">
      <c r="A60" s="16">
        <f>IF(ISNUMBER(H60),MAX(A$11:A59)+1,"")</f>
        <v>45</v>
      </c>
      <c r="C60" s="51">
        <v>935</v>
      </c>
      <c r="D60" s="51" t="s">
        <v>204</v>
      </c>
      <c r="F60" s="51" t="s">
        <v>167</v>
      </c>
      <c r="H60" s="61">
        <v>3104495.14</v>
      </c>
      <c r="I60" s="61">
        <v>0</v>
      </c>
      <c r="J60" s="58">
        <f t="shared" si="1"/>
        <v>3104495.14</v>
      </c>
    </row>
    <row r="61" spans="1:12">
      <c r="A61" s="16">
        <f>IF(ISNUMBER(H61),MAX(A$11:A60)+1,"")</f>
        <v>46</v>
      </c>
      <c r="C61" s="51">
        <v>920</v>
      </c>
      <c r="D61" s="51" t="s">
        <v>194</v>
      </c>
      <c r="F61" s="51" t="s">
        <v>168</v>
      </c>
      <c r="H61" s="61">
        <v>817427.43</v>
      </c>
      <c r="I61" s="61">
        <v>0</v>
      </c>
      <c r="J61" s="58">
        <f t="shared" si="1"/>
        <v>817427.43</v>
      </c>
    </row>
    <row r="62" spans="1:12">
      <c r="A62" s="16">
        <f>IF(ISNUMBER(H62),MAX(A$11:A61)+1,"")</f>
        <v>47</v>
      </c>
      <c r="C62" s="51">
        <v>920</v>
      </c>
      <c r="D62" s="51" t="s">
        <v>194</v>
      </c>
      <c r="F62" s="51" t="s">
        <v>169</v>
      </c>
      <c r="H62" s="61">
        <v>99582.35</v>
      </c>
      <c r="I62" s="61">
        <v>0</v>
      </c>
      <c r="J62" s="58">
        <f t="shared" si="1"/>
        <v>99582.35</v>
      </c>
    </row>
    <row r="63" spans="1:12">
      <c r="A63" s="16">
        <f>IF(ISNUMBER(H63),MAX(A$11:A62)+1,"")</f>
        <v>48</v>
      </c>
      <c r="C63" s="51">
        <v>920</v>
      </c>
      <c r="D63" s="51" t="s">
        <v>194</v>
      </c>
      <c r="F63" s="51" t="s">
        <v>170</v>
      </c>
      <c r="H63" s="61">
        <v>82251</v>
      </c>
      <c r="I63" s="61">
        <v>0</v>
      </c>
      <c r="J63" s="58">
        <f t="shared" si="1"/>
        <v>82251</v>
      </c>
    </row>
    <row r="64" spans="1:12">
      <c r="A64" s="16">
        <f>IF(ISNUMBER(H64),MAX(A$11:A63)+1,"")</f>
        <v>49</v>
      </c>
      <c r="C64" s="51">
        <v>921</v>
      </c>
      <c r="D64" s="51" t="s">
        <v>195</v>
      </c>
      <c r="F64" s="51" t="s">
        <v>171</v>
      </c>
      <c r="H64" s="61">
        <v>13317776.359999999</v>
      </c>
      <c r="I64" s="61">
        <v>0</v>
      </c>
      <c r="J64" s="58">
        <f t="shared" si="1"/>
        <v>13317776.359999999</v>
      </c>
    </row>
    <row r="65" spans="1:12">
      <c r="A65" s="16">
        <f>IF(ISNUMBER(H65),MAX(A$11:A64)+1,"")</f>
        <v>50</v>
      </c>
      <c r="C65" s="51">
        <v>921</v>
      </c>
      <c r="D65" s="51" t="s">
        <v>195</v>
      </c>
      <c r="F65" s="51" t="s">
        <v>172</v>
      </c>
      <c r="H65" s="61">
        <v>24096.5</v>
      </c>
      <c r="I65" s="61">
        <v>0</v>
      </c>
      <c r="J65" s="58">
        <f t="shared" si="1"/>
        <v>24096.5</v>
      </c>
    </row>
    <row r="66" spans="1:12">
      <c r="A66" s="16">
        <f>IF(ISNUMBER(H66),MAX(A$11:A65)+1,"")</f>
        <v>51</v>
      </c>
      <c r="C66" s="51">
        <v>923</v>
      </c>
      <c r="D66" s="51" t="s">
        <v>196</v>
      </c>
      <c r="F66" s="51" t="s">
        <v>173</v>
      </c>
      <c r="H66" s="61">
        <v>357884.77</v>
      </c>
      <c r="I66" s="61">
        <v>0</v>
      </c>
      <c r="J66" s="58">
        <f t="shared" si="1"/>
        <v>357884.77</v>
      </c>
    </row>
    <row r="67" spans="1:12">
      <c r="A67" s="16">
        <f>IF(ISNUMBER(H67),MAX(A$11:A66)+1,"")</f>
        <v>52</v>
      </c>
      <c r="C67" s="51">
        <v>923</v>
      </c>
      <c r="D67" s="51" t="s">
        <v>196</v>
      </c>
      <c r="F67" s="51" t="s">
        <v>174</v>
      </c>
      <c r="H67" s="61">
        <v>144281.99</v>
      </c>
      <c r="I67" s="61">
        <v>0</v>
      </c>
      <c r="J67" s="58">
        <f t="shared" si="1"/>
        <v>144281.99</v>
      </c>
    </row>
    <row r="68" spans="1:12">
      <c r="A68" s="16">
        <f>IF(ISNUMBER(H68),MAX(A$11:A67)+1,"")</f>
        <v>53</v>
      </c>
      <c r="C68" s="51">
        <v>924</v>
      </c>
      <c r="D68" s="51" t="s">
        <v>197</v>
      </c>
      <c r="F68" s="51" t="s">
        <v>175</v>
      </c>
      <c r="H68" s="61">
        <v>847780.1</v>
      </c>
      <c r="I68" s="61">
        <v>0</v>
      </c>
      <c r="J68" s="58">
        <f t="shared" si="1"/>
        <v>847780.1</v>
      </c>
    </row>
    <row r="69" spans="1:12">
      <c r="A69" s="16">
        <f>IF(ISNUMBER(H69),MAX(A$11:A68)+1,"")</f>
        <v>54</v>
      </c>
      <c r="C69" s="51">
        <v>925</v>
      </c>
      <c r="D69" s="51" t="s">
        <v>198</v>
      </c>
      <c r="F69" s="51" t="s">
        <v>176</v>
      </c>
      <c r="H69" s="61">
        <v>1388993.71</v>
      </c>
      <c r="I69" s="61">
        <v>0</v>
      </c>
      <c r="J69" s="58">
        <f t="shared" si="1"/>
        <v>1388993.71</v>
      </c>
    </row>
    <row r="70" spans="1:12">
      <c r="A70" s="16">
        <f>IF(ISNUMBER(H70),MAX(A$11:A69)+1,"")</f>
        <v>55</v>
      </c>
      <c r="C70" s="51">
        <v>925</v>
      </c>
      <c r="D70" s="51" t="s">
        <v>198</v>
      </c>
      <c r="F70" s="51" t="s">
        <v>177</v>
      </c>
      <c r="H70" s="61">
        <v>534748.30000000005</v>
      </c>
      <c r="I70" s="61">
        <v>0</v>
      </c>
      <c r="J70" s="58">
        <f t="shared" si="1"/>
        <v>534748.30000000005</v>
      </c>
    </row>
    <row r="71" spans="1:12">
      <c r="A71" s="16">
        <f>IF(ISNUMBER(H71),MAX(A$11:A70)+1,"")</f>
        <v>56</v>
      </c>
      <c r="C71" s="51">
        <v>926</v>
      </c>
      <c r="D71" s="51" t="s">
        <v>199</v>
      </c>
      <c r="F71" s="51" t="s">
        <v>178</v>
      </c>
      <c r="H71" s="61">
        <v>-1313069.8400000001</v>
      </c>
      <c r="I71" s="61">
        <v>0</v>
      </c>
      <c r="J71" s="58">
        <f t="shared" si="1"/>
        <v>-1313069.8400000001</v>
      </c>
    </row>
    <row r="72" spans="1:12">
      <c r="A72" s="16">
        <f>IF(ISNUMBER(H72),MAX(A$11:A71)+1,"")</f>
        <v>57</v>
      </c>
      <c r="C72" s="51">
        <v>926</v>
      </c>
      <c r="D72" s="51" t="s">
        <v>199</v>
      </c>
      <c r="F72" s="51" t="s">
        <v>179</v>
      </c>
      <c r="H72" s="61">
        <v>-1080845.46</v>
      </c>
      <c r="I72" s="61">
        <v>0</v>
      </c>
      <c r="J72" s="58">
        <f t="shared" si="1"/>
        <v>-1080845.46</v>
      </c>
    </row>
    <row r="73" spans="1:12">
      <c r="A73" s="16">
        <f>IF(ISNUMBER(H73),MAX(A$11:A72)+1,"")</f>
        <v>58</v>
      </c>
      <c r="C73" s="51">
        <v>926</v>
      </c>
      <c r="D73" s="51" t="s">
        <v>199</v>
      </c>
      <c r="F73" s="51" t="s">
        <v>180</v>
      </c>
      <c r="H73" s="61">
        <v>0</v>
      </c>
      <c r="I73" s="61">
        <v>0</v>
      </c>
      <c r="J73" s="58">
        <f t="shared" si="1"/>
        <v>0</v>
      </c>
    </row>
    <row r="74" spans="1:12">
      <c r="A74" s="16">
        <f>IF(ISNUMBER(H74),MAX(A$11:A73)+1,"")</f>
        <v>59</v>
      </c>
      <c r="C74" s="51">
        <v>926</v>
      </c>
      <c r="D74" s="51" t="s">
        <v>199</v>
      </c>
      <c r="F74" s="51" t="s">
        <v>181</v>
      </c>
      <c r="H74" s="61">
        <v>183838.44</v>
      </c>
      <c r="I74" s="61">
        <v>0</v>
      </c>
      <c r="J74" s="58">
        <f t="shared" si="1"/>
        <v>183838.44</v>
      </c>
    </row>
    <row r="75" spans="1:12">
      <c r="A75" s="16">
        <f>IF(ISNUMBER(H75),MAX(A$11:A74)+1,"")</f>
        <v>60</v>
      </c>
      <c r="C75" s="51">
        <v>928</v>
      </c>
      <c r="D75" s="51" t="s">
        <v>200</v>
      </c>
      <c r="F75" s="51" t="s">
        <v>182</v>
      </c>
      <c r="H75" s="61">
        <v>1433222.09</v>
      </c>
      <c r="I75" s="61">
        <v>0</v>
      </c>
      <c r="J75" s="58">
        <f t="shared" si="1"/>
        <v>1433222.09</v>
      </c>
    </row>
    <row r="76" spans="1:12">
      <c r="A76" s="16">
        <f>IF(ISNUMBER(H76),MAX(A$11:A75)+1,"")</f>
        <v>61</v>
      </c>
      <c r="C76" s="51">
        <v>929</v>
      </c>
      <c r="D76" s="51" t="s">
        <v>201</v>
      </c>
      <c r="F76" s="51" t="s">
        <v>183</v>
      </c>
      <c r="H76" s="61">
        <v>-2527354.3199999998</v>
      </c>
      <c r="I76" s="61">
        <v>0</v>
      </c>
      <c r="J76" s="58">
        <f t="shared" si="1"/>
        <v>-2527354.3199999998</v>
      </c>
    </row>
    <row r="77" spans="1:12">
      <c r="A77" s="16">
        <f>IF(ISNUMBER(H77),MAX(A$11:A76)+1,"")</f>
        <v>62</v>
      </c>
      <c r="C77" s="51">
        <v>930.2</v>
      </c>
      <c r="D77" s="51" t="s">
        <v>202</v>
      </c>
      <c r="F77" s="51" t="s">
        <v>184</v>
      </c>
      <c r="H77" s="61">
        <v>2006697.58</v>
      </c>
      <c r="I77" s="61">
        <v>0</v>
      </c>
      <c r="J77" s="58">
        <f t="shared" si="1"/>
        <v>2006697.58</v>
      </c>
    </row>
    <row r="78" spans="1:12">
      <c r="A78" s="16">
        <f>IF(ISNUMBER(H78),MAX(A$11:A77)+1,"")</f>
        <v>63</v>
      </c>
      <c r="C78" s="51">
        <v>930.1</v>
      </c>
      <c r="D78" s="51" t="s">
        <v>203</v>
      </c>
      <c r="F78" s="51" t="s">
        <v>185</v>
      </c>
      <c r="H78" s="61">
        <v>1071469.6000000001</v>
      </c>
      <c r="I78" s="61">
        <v>-1071469.6000000001</v>
      </c>
      <c r="J78" s="58">
        <f t="shared" si="1"/>
        <v>0</v>
      </c>
      <c r="L78" s="51" t="s">
        <v>340</v>
      </c>
    </row>
    <row r="79" spans="1:12">
      <c r="A79" s="16">
        <f>IF(ISNUMBER(H79),MAX(A$11:A78)+1,"")</f>
        <v>64</v>
      </c>
      <c r="C79" s="51">
        <v>931</v>
      </c>
      <c r="D79" s="51" t="s">
        <v>205</v>
      </c>
      <c r="F79" s="51" t="s">
        <v>186</v>
      </c>
      <c r="H79" s="61">
        <v>186536.64</v>
      </c>
      <c r="I79" s="61">
        <v>0</v>
      </c>
      <c r="J79" s="58">
        <f t="shared" si="1"/>
        <v>186536.64</v>
      </c>
    </row>
    <row r="80" spans="1:12">
      <c r="A80" s="16">
        <f>IF(ISNUMBER(H80),MAX(A$11:A79)+1,"")</f>
        <v>65</v>
      </c>
      <c r="C80" s="51">
        <v>931</v>
      </c>
      <c r="D80" s="51" t="s">
        <v>205</v>
      </c>
      <c r="F80" s="51" t="s">
        <v>187</v>
      </c>
      <c r="H80" s="61">
        <v>12779.28</v>
      </c>
      <c r="I80" s="61">
        <v>0</v>
      </c>
      <c r="J80" s="58">
        <f t="shared" si="1"/>
        <v>12779.28</v>
      </c>
    </row>
    <row r="81" spans="1:10">
      <c r="A81" s="16">
        <f>IF(ISNUMBER(H81),MAX(A$11:A80)+1,"")</f>
        <v>66</v>
      </c>
      <c r="C81" s="51">
        <v>935</v>
      </c>
      <c r="D81" s="51" t="s">
        <v>204</v>
      </c>
      <c r="F81" s="51" t="s">
        <v>188</v>
      </c>
      <c r="H81" s="61">
        <v>4852678.1500000004</v>
      </c>
      <c r="I81" s="61">
        <v>0</v>
      </c>
      <c r="J81" s="58">
        <f t="shared" si="1"/>
        <v>4852678.1500000004</v>
      </c>
    </row>
    <row r="82" spans="1:10">
      <c r="A82" s="16">
        <f>IF(ISNUMBER(H82),MAX(A$11:A81)+1,"")</f>
        <v>67</v>
      </c>
      <c r="C82" s="51">
        <v>935</v>
      </c>
      <c r="D82" s="51" t="s">
        <v>204</v>
      </c>
      <c r="F82" s="51" t="s">
        <v>189</v>
      </c>
      <c r="H82" s="61">
        <v>2524054.6800000002</v>
      </c>
      <c r="I82" s="61">
        <v>0</v>
      </c>
      <c r="J82" s="58">
        <f t="shared" si="1"/>
        <v>2524054.6800000002</v>
      </c>
    </row>
    <row r="83" spans="1:10">
      <c r="A83" s="16">
        <f>IF(ISNUMBER(H83),MAX(A$11:A82)+1,"")</f>
        <v>68</v>
      </c>
      <c r="D83" s="60" t="s">
        <v>192</v>
      </c>
      <c r="H83" s="66">
        <f>SUM(H32:H82)</f>
        <v>37730447.600000001</v>
      </c>
      <c r="I83" s="66">
        <f>SUM(I32:I82)</f>
        <v>-1799949.2000000002</v>
      </c>
      <c r="J83" s="66">
        <f>SUM(J32:J82)</f>
        <v>35930498.399999999</v>
      </c>
    </row>
    <row r="84" spans="1:10">
      <c r="A84" s="16" t="str">
        <f>IF(ISNUMBER(H84),MAX(A$11:A83)+1,"")</f>
        <v/>
      </c>
      <c r="H84" s="58"/>
      <c r="I84" s="58"/>
      <c r="J84" s="58"/>
    </row>
    <row r="85" spans="1:10">
      <c r="A85" s="16" t="str">
        <f>IF(ISNUMBER(H85),MAX(A$11:A84)+1,"")</f>
        <v/>
      </c>
      <c r="D85" s="53" t="s">
        <v>481</v>
      </c>
      <c r="H85" s="58"/>
      <c r="I85" s="58"/>
      <c r="J85" s="58"/>
    </row>
    <row r="86" spans="1:10" ht="14.5">
      <c r="A86" s="16">
        <f>IF(ISNUMBER(H86),MAX(A$11:A85)+1,"")</f>
        <v>69</v>
      </c>
      <c r="D86" s="51" t="s">
        <v>498</v>
      </c>
      <c r="F86" s="141" t="s">
        <v>483</v>
      </c>
      <c r="H86" s="61">
        <v>145837.60999999999</v>
      </c>
      <c r="I86" s="61"/>
      <c r="J86" s="58">
        <f t="shared" ref="J86:J100" si="2">H86+I86</f>
        <v>145837.60999999999</v>
      </c>
    </row>
    <row r="87" spans="1:10" ht="14.5">
      <c r="A87" s="16">
        <f>IF(ISNUMBER(H87),MAX(A$11:A86)+1,"")</f>
        <v>70</v>
      </c>
      <c r="D87" s="51" t="s">
        <v>502</v>
      </c>
      <c r="F87" s="141" t="s">
        <v>484</v>
      </c>
      <c r="H87" s="61">
        <v>416741.21</v>
      </c>
      <c r="I87" s="61"/>
      <c r="J87" s="58">
        <f t="shared" si="2"/>
        <v>416741.21</v>
      </c>
    </row>
    <row r="88" spans="1:10" ht="14.5">
      <c r="A88" s="16">
        <f>IF(ISNUMBER(H88),MAX(A$11:A87)+1,"")</f>
        <v>71</v>
      </c>
      <c r="D88" s="51" t="s">
        <v>503</v>
      </c>
      <c r="F88" s="141" t="s">
        <v>485</v>
      </c>
      <c r="H88" s="61">
        <v>589650.5</v>
      </c>
      <c r="I88" s="61"/>
      <c r="J88" s="58">
        <f t="shared" si="2"/>
        <v>589650.5</v>
      </c>
    </row>
    <row r="89" spans="1:10" ht="14.5">
      <c r="A89" s="16">
        <f>IF(ISNUMBER(H89),MAX(A$11:A88)+1,"")</f>
        <v>72</v>
      </c>
      <c r="D89" s="51" t="s">
        <v>504</v>
      </c>
      <c r="F89" s="141" t="s">
        <v>486</v>
      </c>
      <c r="H89" s="61">
        <v>723948.39</v>
      </c>
      <c r="I89" s="61"/>
      <c r="J89" s="58">
        <f t="shared" si="2"/>
        <v>723948.39</v>
      </c>
    </row>
    <row r="90" spans="1:10" ht="14.5">
      <c r="A90" s="16">
        <f>IF(ISNUMBER(H90),MAX(A$11:A89)+1,"")</f>
        <v>73</v>
      </c>
      <c r="D90" s="51" t="s">
        <v>505</v>
      </c>
      <c r="F90" s="141" t="s">
        <v>487</v>
      </c>
      <c r="H90" s="61">
        <v>94418.59</v>
      </c>
      <c r="I90" s="61"/>
      <c r="J90" s="58">
        <f t="shared" si="2"/>
        <v>94418.59</v>
      </c>
    </row>
    <row r="91" spans="1:10" ht="14.5">
      <c r="A91" s="16">
        <f>IF(ISNUMBER(H91),MAX(A$11:A90)+1,"")</f>
        <v>74</v>
      </c>
      <c r="D91" s="51" t="s">
        <v>499</v>
      </c>
      <c r="F91" s="141" t="s">
        <v>488</v>
      </c>
      <c r="H91" s="61">
        <v>1175238.3400000001</v>
      </c>
      <c r="I91" s="61"/>
      <c r="J91" s="58">
        <f t="shared" si="2"/>
        <v>1175238.3400000001</v>
      </c>
    </row>
    <row r="92" spans="1:10" ht="14.5">
      <c r="A92" s="16">
        <f>IF(ISNUMBER(H92),MAX(A$11:A91)+1,"")</f>
        <v>75</v>
      </c>
      <c r="D92" s="51" t="s">
        <v>500</v>
      </c>
      <c r="F92" s="141" t="s">
        <v>489</v>
      </c>
      <c r="H92" s="61">
        <v>164518.51999999999</v>
      </c>
      <c r="I92" s="61"/>
      <c r="J92" s="58">
        <f t="shared" si="2"/>
        <v>164518.51999999999</v>
      </c>
    </row>
    <row r="93" spans="1:10" ht="14.5">
      <c r="A93" s="16">
        <f>IF(ISNUMBER(H93),MAX(A$11:A92)+1,"")</f>
        <v>76</v>
      </c>
      <c r="D93" s="51" t="s">
        <v>501</v>
      </c>
      <c r="F93" s="141" t="s">
        <v>490</v>
      </c>
      <c r="H93" s="61">
        <v>6087847.3399999999</v>
      </c>
      <c r="I93" s="61"/>
      <c r="J93" s="58">
        <f t="shared" si="2"/>
        <v>6087847.3399999999</v>
      </c>
    </row>
    <row r="94" spans="1:10" ht="14.5">
      <c r="A94" s="16">
        <f>IF(ISNUMBER(H94),MAX(A$11:A93)+1,"")</f>
        <v>77</v>
      </c>
      <c r="D94" s="51" t="s">
        <v>501</v>
      </c>
      <c r="F94" s="141" t="s">
        <v>491</v>
      </c>
      <c r="H94" s="61">
        <v>79673.33</v>
      </c>
      <c r="I94" s="61"/>
      <c r="J94" s="58">
        <f t="shared" si="2"/>
        <v>79673.33</v>
      </c>
    </row>
    <row r="95" spans="1:10" ht="14.5">
      <c r="A95" s="16">
        <f>IF(ISNUMBER(H95),MAX(A$11:A94)+1,"")</f>
        <v>78</v>
      </c>
      <c r="D95" s="51" t="s">
        <v>508</v>
      </c>
      <c r="F95" s="141" t="s">
        <v>492</v>
      </c>
      <c r="H95" s="61">
        <v>399940.81</v>
      </c>
      <c r="I95" s="61"/>
      <c r="J95" s="58">
        <f t="shared" si="2"/>
        <v>399940.81</v>
      </c>
    </row>
    <row r="96" spans="1:10" ht="14.5">
      <c r="A96" s="16">
        <f>IF(ISNUMBER(H96),MAX(A$11:A95)+1,"")</f>
        <v>79</v>
      </c>
      <c r="D96" s="51" t="s">
        <v>509</v>
      </c>
      <c r="F96" s="141" t="s">
        <v>493</v>
      </c>
      <c r="H96" s="61">
        <v>1633340.23</v>
      </c>
      <c r="I96" s="61"/>
      <c r="J96" s="58">
        <f t="shared" si="2"/>
        <v>1633340.23</v>
      </c>
    </row>
    <row r="97" spans="1:10" ht="14.5">
      <c r="A97" s="16">
        <f>IF(ISNUMBER(H97),MAX(A$11:A96)+1,"")</f>
        <v>80</v>
      </c>
      <c r="D97" s="51" t="s">
        <v>510</v>
      </c>
      <c r="F97" s="141" t="s">
        <v>494</v>
      </c>
      <c r="H97" s="61">
        <v>1830522.11</v>
      </c>
      <c r="I97" s="61"/>
      <c r="J97" s="58">
        <f t="shared" si="2"/>
        <v>1830522.11</v>
      </c>
    </row>
    <row r="98" spans="1:10" ht="14.5">
      <c r="A98" s="16">
        <f>IF(ISNUMBER(H98),MAX(A$11:A97)+1,"")</f>
        <v>81</v>
      </c>
      <c r="D98" s="51" t="s">
        <v>511</v>
      </c>
      <c r="F98" s="141" t="s">
        <v>495</v>
      </c>
      <c r="H98" s="61">
        <v>845254.72</v>
      </c>
      <c r="I98" s="61"/>
      <c r="J98" s="58">
        <f t="shared" si="2"/>
        <v>845254.72</v>
      </c>
    </row>
    <row r="99" spans="1:10" ht="14.5">
      <c r="A99" s="16">
        <f>IF(ISNUMBER(H99),MAX(A$11:A98)+1,"")</f>
        <v>82</v>
      </c>
      <c r="D99" s="51" t="s">
        <v>506</v>
      </c>
      <c r="F99" s="141" t="s">
        <v>496</v>
      </c>
      <c r="H99" s="61">
        <v>50205.84</v>
      </c>
      <c r="I99" s="61"/>
      <c r="J99" s="58">
        <f t="shared" si="2"/>
        <v>50205.84</v>
      </c>
    </row>
    <row r="100" spans="1:10" ht="14.5">
      <c r="A100" s="16">
        <f>IF(ISNUMBER(H100),MAX(A$11:A99)+1,"")</f>
        <v>83</v>
      </c>
      <c r="D100" s="51" t="s">
        <v>507</v>
      </c>
      <c r="F100" s="141" t="s">
        <v>497</v>
      </c>
      <c r="H100" s="61">
        <v>129979.01</v>
      </c>
      <c r="I100" s="61"/>
      <c r="J100" s="58">
        <f t="shared" si="2"/>
        <v>129979.01</v>
      </c>
    </row>
    <row r="101" spans="1:10">
      <c r="A101" s="16"/>
      <c r="H101" s="66">
        <f>SUM(H86:H100)</f>
        <v>14367116.550000001</v>
      </c>
      <c r="I101" s="66">
        <f>SUM(I86:I100)</f>
        <v>0</v>
      </c>
      <c r="J101" s="66">
        <f>SUM(J86:J100)</f>
        <v>14367116.550000001</v>
      </c>
    </row>
    <row r="102" spans="1:10">
      <c r="A102" s="16" t="str">
        <f>IF(ISNUMBER(H102),MAX(A$11:A84)+1,"")</f>
        <v/>
      </c>
      <c r="H102" s="58"/>
      <c r="I102" s="58"/>
      <c r="J102" s="58"/>
    </row>
    <row r="103" spans="1:10">
      <c r="A103" s="9" t="s">
        <v>112</v>
      </c>
      <c r="B103" s="4"/>
      <c r="C103" s="2"/>
      <c r="H103" s="58"/>
      <c r="I103" s="58"/>
      <c r="J103" s="58"/>
    </row>
    <row r="104" spans="1:10">
      <c r="A104" s="9" t="s">
        <v>113</v>
      </c>
      <c r="B104" s="4"/>
      <c r="C104" s="2" t="s">
        <v>602</v>
      </c>
      <c r="D104" s="104" t="s">
        <v>601</v>
      </c>
      <c r="H104" s="58"/>
      <c r="I104" s="58"/>
      <c r="J104" s="58"/>
    </row>
    <row r="105" spans="1:10">
      <c r="H105" s="58"/>
      <c r="I105" s="58"/>
      <c r="J105" s="58"/>
    </row>
    <row r="106" spans="1:10">
      <c r="A106" s="9" t="s">
        <v>115</v>
      </c>
      <c r="B106" s="4"/>
      <c r="C106" s="2" t="s">
        <v>218</v>
      </c>
      <c r="H106" s="58"/>
      <c r="I106" s="58"/>
      <c r="J106" s="58"/>
    </row>
    <row r="107" spans="1:10">
      <c r="A107" s="16"/>
      <c r="H107" s="58"/>
      <c r="I107" s="58"/>
      <c r="J107" s="58"/>
    </row>
    <row r="108" spans="1:10">
      <c r="A108" s="16"/>
      <c r="H108" s="58"/>
      <c r="I108" s="58"/>
      <c r="J108" s="58"/>
    </row>
    <row r="109" spans="1:10">
      <c r="H109" s="58"/>
      <c r="I109" s="58"/>
      <c r="J109" s="58"/>
    </row>
    <row r="110" spans="1:10">
      <c r="H110" s="58"/>
      <c r="I110" s="58"/>
      <c r="J110" s="58"/>
    </row>
    <row r="111" spans="1:10">
      <c r="H111" s="58"/>
      <c r="I111" s="58"/>
      <c r="J111" s="58"/>
    </row>
    <row r="112" spans="1:10">
      <c r="H112" s="58"/>
      <c r="I112" s="58"/>
      <c r="J112" s="58"/>
    </row>
    <row r="113" spans="8:10">
      <c r="H113" s="58"/>
      <c r="I113" s="58"/>
      <c r="J113" s="58"/>
    </row>
    <row r="114" spans="8:10">
      <c r="H114" s="58"/>
      <c r="I114" s="58"/>
      <c r="J114" s="58"/>
    </row>
    <row r="115" spans="8:10">
      <c r="H115" s="58"/>
      <c r="I115" s="58"/>
      <c r="J115" s="58"/>
    </row>
    <row r="116" spans="8:10">
      <c r="H116" s="58"/>
      <c r="I116" s="58"/>
      <c r="J116" s="58"/>
    </row>
    <row r="117" spans="8:10">
      <c r="H117" s="58"/>
      <c r="I117" s="58"/>
      <c r="J117" s="58"/>
    </row>
    <row r="118" spans="8:10">
      <c r="H118" s="58"/>
      <c r="I118" s="58"/>
      <c r="J118" s="58"/>
    </row>
    <row r="119" spans="8:10">
      <c r="H119" s="58"/>
      <c r="I119" s="58"/>
      <c r="J119" s="58"/>
    </row>
    <row r="120" spans="8:10">
      <c r="H120" s="58"/>
      <c r="I120" s="58"/>
      <c r="J120" s="58"/>
    </row>
    <row r="121" spans="8:10">
      <c r="H121" s="58"/>
      <c r="I121" s="58"/>
      <c r="J121" s="58"/>
    </row>
    <row r="122" spans="8:10">
      <c r="H122" s="58"/>
      <c r="I122" s="58"/>
      <c r="J122" s="58"/>
    </row>
    <row r="123" spans="8:10">
      <c r="H123" s="58"/>
      <c r="I123" s="58"/>
      <c r="J123" s="58"/>
    </row>
    <row r="124" spans="8:10">
      <c r="H124" s="58"/>
      <c r="I124" s="58"/>
      <c r="J124" s="58"/>
    </row>
    <row r="125" spans="8:10">
      <c r="H125" s="58"/>
      <c r="I125" s="58"/>
      <c r="J125" s="58"/>
    </row>
    <row r="126" spans="8:10">
      <c r="H126" s="58"/>
      <c r="I126" s="58"/>
      <c r="J126" s="58"/>
    </row>
    <row r="127" spans="8:10">
      <c r="H127" s="58"/>
      <c r="I127" s="58"/>
      <c r="J127" s="58"/>
    </row>
    <row r="128" spans="8:10">
      <c r="H128" s="58"/>
      <c r="I128" s="58"/>
      <c r="J128" s="58"/>
    </row>
    <row r="129" spans="8:10">
      <c r="H129" s="58"/>
      <c r="I129" s="58"/>
      <c r="J129" s="58"/>
    </row>
    <row r="130" spans="8:10">
      <c r="H130" s="58"/>
      <c r="I130" s="58"/>
      <c r="J130" s="58"/>
    </row>
    <row r="131" spans="8:10">
      <c r="H131" s="58"/>
      <c r="I131" s="58"/>
      <c r="J131" s="58"/>
    </row>
    <row r="132" spans="8:10">
      <c r="H132" s="58"/>
      <c r="I132" s="58"/>
      <c r="J132" s="58"/>
    </row>
    <row r="133" spans="8:10">
      <c r="H133" s="58"/>
      <c r="I133" s="58"/>
      <c r="J133" s="58"/>
    </row>
    <row r="134" spans="8:10">
      <c r="H134" s="58"/>
      <c r="I134" s="58"/>
      <c r="J134" s="58"/>
    </row>
    <row r="135" spans="8:10">
      <c r="H135" s="58"/>
      <c r="I135" s="58"/>
      <c r="J135" s="58"/>
    </row>
    <row r="136" spans="8:10">
      <c r="H136" s="58"/>
      <c r="I136" s="58"/>
      <c r="J136" s="58"/>
    </row>
    <row r="137" spans="8:10">
      <c r="H137" s="58"/>
      <c r="I137" s="58"/>
      <c r="J137" s="58"/>
    </row>
    <row r="138" spans="8:10">
      <c r="H138" s="58"/>
      <c r="I138" s="58"/>
      <c r="J138" s="58"/>
    </row>
    <row r="139" spans="8:10">
      <c r="H139" s="58"/>
      <c r="I139" s="58"/>
      <c r="J139" s="58"/>
    </row>
    <row r="140" spans="8:10">
      <c r="H140" s="58"/>
      <c r="I140" s="58"/>
      <c r="J140" s="58"/>
    </row>
    <row r="141" spans="8:10">
      <c r="H141" s="58"/>
      <c r="I141" s="58"/>
      <c r="J141" s="58"/>
    </row>
    <row r="142" spans="8:10">
      <c r="H142" s="58"/>
      <c r="I142" s="58"/>
      <c r="J142" s="58"/>
    </row>
    <row r="143" spans="8:10">
      <c r="H143" s="58"/>
      <c r="I143" s="58"/>
      <c r="J143" s="58"/>
    </row>
    <row r="144" spans="8:10">
      <c r="H144" s="58"/>
      <c r="I144" s="58"/>
      <c r="J144" s="58"/>
    </row>
    <row r="145" spans="8:10">
      <c r="H145" s="58"/>
      <c r="I145" s="58"/>
      <c r="J145" s="58"/>
    </row>
    <row r="146" spans="8:10">
      <c r="H146" s="58"/>
      <c r="I146" s="58"/>
      <c r="J146" s="58"/>
    </row>
    <row r="147" spans="8:10">
      <c r="H147" s="58"/>
      <c r="I147" s="58"/>
      <c r="J147" s="58"/>
    </row>
    <row r="148" spans="8:10">
      <c r="H148" s="58"/>
      <c r="I148" s="58"/>
      <c r="J148" s="58"/>
    </row>
    <row r="149" spans="8:10">
      <c r="H149" s="58"/>
      <c r="I149" s="58"/>
      <c r="J149" s="58"/>
    </row>
    <row r="150" spans="8:10">
      <c r="H150" s="58"/>
      <c r="I150" s="58"/>
      <c r="J150" s="58"/>
    </row>
    <row r="151" spans="8:10">
      <c r="H151" s="58"/>
      <c r="I151" s="58"/>
      <c r="J151" s="58"/>
    </row>
    <row r="152" spans="8:10">
      <c r="H152" s="58"/>
      <c r="I152" s="58"/>
      <c r="J152" s="58"/>
    </row>
    <row r="153" spans="8:10">
      <c r="H153" s="58"/>
      <c r="I153" s="58"/>
      <c r="J153" s="58"/>
    </row>
    <row r="154" spans="8:10">
      <c r="H154" s="58"/>
      <c r="I154" s="58"/>
      <c r="J154" s="58"/>
    </row>
    <row r="155" spans="8:10">
      <c r="H155" s="58"/>
      <c r="I155" s="58"/>
      <c r="J155" s="58"/>
    </row>
    <row r="156" spans="8:10">
      <c r="H156" s="58"/>
      <c r="I156" s="58"/>
      <c r="J156" s="58"/>
    </row>
    <row r="157" spans="8:10">
      <c r="H157" s="58"/>
      <c r="I157" s="58"/>
      <c r="J157" s="58"/>
    </row>
    <row r="158" spans="8:10">
      <c r="H158" s="58"/>
      <c r="I158" s="58"/>
      <c r="J158" s="58"/>
    </row>
    <row r="159" spans="8:10">
      <c r="H159" s="58"/>
      <c r="I159" s="58"/>
      <c r="J159" s="58"/>
    </row>
  </sheetData>
  <autoFilter ref="L86:L101">
    <sortState ref="L87:L101">
      <sortCondition ref="L86:L101"/>
    </sortState>
  </autoFilter>
  <printOptions horizontalCentered="1"/>
  <pageMargins left="0.5" right="0.5" top="0.5" bottom="0.5" header="0.25" footer="0.25"/>
  <pageSetup scale="50" orientation="landscape" horizontalDpi="1200" verticalDpi="1200" r:id="rId1"/>
  <headerFoot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zoomScale="70" zoomScaleNormal="70" workbookViewId="0">
      <selection activeCell="O27" sqref="O27"/>
    </sheetView>
  </sheetViews>
  <sheetFormatPr defaultColWidth="9.08984375" defaultRowHeight="14"/>
  <cols>
    <col min="1" max="1" width="5.6328125" style="51" customWidth="1"/>
    <col min="2" max="2" width="1.6328125" style="51" customWidth="1"/>
    <col min="3" max="3" width="9.08984375" style="51"/>
    <col min="4" max="4" width="44.54296875" style="51" bestFit="1" customWidth="1"/>
    <col min="5" max="5" width="1.6328125" style="51" customWidth="1"/>
    <col min="6" max="6" width="53.36328125" style="51" bestFit="1" customWidth="1"/>
    <col min="7" max="7" width="1.6328125" style="52" customWidth="1"/>
    <col min="8" max="10" width="13.6328125" style="51" customWidth="1"/>
    <col min="11" max="11" width="1.6328125" style="51" customWidth="1"/>
    <col min="12" max="12" width="16.6328125" style="51" bestFit="1" customWidth="1"/>
    <col min="13" max="13" width="14.54296875" style="51" bestFit="1" customWidth="1"/>
    <col min="14" max="14" width="1.6328125" style="51" customWidth="1"/>
    <col min="15" max="15" width="37.08984375" style="51" bestFit="1" customWidth="1"/>
    <col min="16" max="16384" width="9.08984375" style="51"/>
  </cols>
  <sheetData>
    <row r="1" spans="1:15">
      <c r="A1" s="1" t="s">
        <v>268</v>
      </c>
      <c r="B1" s="1"/>
    </row>
    <row r="2" spans="1:15">
      <c r="A2" s="1" t="str">
        <f>'Appendix B - COS'!$A$2</f>
        <v>Grant County Public Utility District</v>
      </c>
      <c r="B2" s="1"/>
    </row>
    <row r="3" spans="1:15">
      <c r="A3" s="1" t="s">
        <v>259</v>
      </c>
      <c r="B3" s="1"/>
    </row>
    <row r="4" spans="1:15">
      <c r="A4" s="1" t="str">
        <f>'Appendix B - COS'!$A$4</f>
        <v>Fiscal Year Ending December 31, 2017</v>
      </c>
      <c r="B4" s="1"/>
    </row>
    <row r="5" spans="1:15">
      <c r="A5" s="1" t="str">
        <f>'Appendix B - COS'!$A$5</f>
        <v>Draft of June 19, 2019</v>
      </c>
      <c r="B5" s="1"/>
    </row>
    <row r="6" spans="1:15">
      <c r="A6" s="1"/>
      <c r="B6" s="1"/>
    </row>
    <row r="7" spans="1:15">
      <c r="A7" s="4"/>
      <c r="B7" s="4"/>
      <c r="C7" s="53"/>
      <c r="D7" s="53"/>
      <c r="E7" s="53"/>
      <c r="F7" s="53"/>
      <c r="G7" s="54"/>
      <c r="H7" s="207" t="s">
        <v>333</v>
      </c>
      <c r="I7" s="207"/>
      <c r="J7" s="207"/>
      <c r="K7" s="53" t="s">
        <v>52</v>
      </c>
      <c r="L7" s="100" t="s">
        <v>40</v>
      </c>
      <c r="M7" s="100"/>
      <c r="N7" s="53"/>
    </row>
    <row r="8" spans="1:15">
      <c r="A8" s="9" t="s">
        <v>43</v>
      </c>
      <c r="B8" s="9"/>
      <c r="C8" s="55" t="s">
        <v>94</v>
      </c>
      <c r="D8" s="55"/>
      <c r="E8" s="55"/>
      <c r="F8" s="55"/>
      <c r="G8" s="56"/>
      <c r="H8" s="55" t="s">
        <v>34</v>
      </c>
      <c r="I8" s="67" t="s">
        <v>190</v>
      </c>
      <c r="J8" s="55" t="s">
        <v>191</v>
      </c>
      <c r="K8" s="53"/>
      <c r="L8" s="56" t="s">
        <v>31</v>
      </c>
      <c r="M8" s="56" t="s">
        <v>598</v>
      </c>
      <c r="N8" s="53"/>
    </row>
    <row r="9" spans="1:15" ht="14.5" thickBot="1">
      <c r="A9" s="11" t="s">
        <v>1</v>
      </c>
      <c r="B9" s="12"/>
      <c r="C9" s="57" t="s">
        <v>95</v>
      </c>
      <c r="D9" s="57" t="s">
        <v>53</v>
      </c>
      <c r="E9" s="55"/>
      <c r="F9" s="57" t="s">
        <v>54</v>
      </c>
      <c r="G9" s="56"/>
      <c r="H9" s="57" t="s">
        <v>23</v>
      </c>
      <c r="I9" s="57" t="s">
        <v>217</v>
      </c>
      <c r="J9" s="57" t="s">
        <v>23</v>
      </c>
      <c r="K9" s="53"/>
      <c r="L9" s="57" t="s">
        <v>613</v>
      </c>
      <c r="M9" s="57" t="s">
        <v>613</v>
      </c>
      <c r="N9" s="53"/>
      <c r="O9" s="57" t="s">
        <v>220</v>
      </c>
    </row>
    <row r="10" spans="1:15">
      <c r="A10" s="4"/>
      <c r="B10" s="4"/>
      <c r="C10" s="7" t="s">
        <v>2</v>
      </c>
      <c r="D10" s="7" t="s">
        <v>3</v>
      </c>
      <c r="F10" s="7" t="s">
        <v>4</v>
      </c>
      <c r="G10" s="51"/>
      <c r="H10" s="7" t="s">
        <v>5</v>
      </c>
      <c r="I10" s="7" t="s">
        <v>6</v>
      </c>
      <c r="J10" s="7" t="s">
        <v>7</v>
      </c>
      <c r="L10" s="147" t="s">
        <v>117</v>
      </c>
      <c r="M10" s="147" t="s">
        <v>118</v>
      </c>
      <c r="O10" s="7" t="s">
        <v>334</v>
      </c>
    </row>
    <row r="11" spans="1:15">
      <c r="J11" s="62" t="s">
        <v>193</v>
      </c>
    </row>
    <row r="12" spans="1:15">
      <c r="H12" s="58"/>
      <c r="I12" s="58"/>
      <c r="J12" s="58"/>
    </row>
    <row r="13" spans="1:15">
      <c r="D13" s="53" t="s">
        <v>260</v>
      </c>
      <c r="H13" s="58"/>
      <c r="I13" s="58"/>
      <c r="J13" s="58"/>
    </row>
    <row r="14" spans="1:15">
      <c r="A14" s="16">
        <f>IF(ISNUMBER(H14),MAX(A$11:A13)+1,"")</f>
        <v>1</v>
      </c>
      <c r="C14" s="51">
        <v>154</v>
      </c>
      <c r="D14" s="51" t="s">
        <v>266</v>
      </c>
      <c r="F14" s="86" t="s">
        <v>261</v>
      </c>
      <c r="H14" s="61">
        <v>16238705.58</v>
      </c>
      <c r="I14" s="61">
        <v>0</v>
      </c>
      <c r="J14" s="58">
        <f t="shared" ref="J14:J17" si="0">H14+I14</f>
        <v>16238705.58</v>
      </c>
    </row>
    <row r="15" spans="1:15">
      <c r="A15" s="16">
        <f>IF(ISNUMBER(H15),MAX(A$11:A14)+1,"")</f>
        <v>2</v>
      </c>
      <c r="C15" s="51">
        <v>154</v>
      </c>
      <c r="D15" s="51" t="s">
        <v>266</v>
      </c>
      <c r="F15" s="86" t="s">
        <v>262</v>
      </c>
      <c r="H15" s="61">
        <v>33.49</v>
      </c>
      <c r="I15" s="61">
        <v>0</v>
      </c>
      <c r="J15" s="58">
        <f t="shared" si="0"/>
        <v>33.49</v>
      </c>
    </row>
    <row r="16" spans="1:15">
      <c r="A16" s="16">
        <f>IF(ISNUMBER(H16),MAX(A$11:A15)+1,"")</f>
        <v>3</v>
      </c>
      <c r="C16" s="51">
        <v>163</v>
      </c>
      <c r="D16" s="51" t="s">
        <v>267</v>
      </c>
      <c r="F16" s="86" t="s">
        <v>263</v>
      </c>
      <c r="H16" s="61">
        <v>1794580.8</v>
      </c>
      <c r="I16" s="61">
        <v>0</v>
      </c>
      <c r="J16" s="58">
        <f t="shared" si="0"/>
        <v>1794580.8</v>
      </c>
    </row>
    <row r="17" spans="1:15">
      <c r="A17" s="16">
        <f>IF(ISNUMBER(H17),MAX(A$11:A16)+1,"")</f>
        <v>4</v>
      </c>
      <c r="C17" s="51">
        <v>163</v>
      </c>
      <c r="D17" s="51" t="s">
        <v>267</v>
      </c>
      <c r="F17" s="86" t="s">
        <v>264</v>
      </c>
      <c r="H17" s="61">
        <v>-190778.18</v>
      </c>
      <c r="I17" s="61">
        <v>0</v>
      </c>
      <c r="J17" s="58">
        <f t="shared" si="0"/>
        <v>-190778.18</v>
      </c>
    </row>
    <row r="18" spans="1:15">
      <c r="A18" s="16">
        <f>IF(ISNUMBER(H18),MAX(A$11:A17)+1,"")</f>
        <v>5</v>
      </c>
      <c r="D18" s="60" t="s">
        <v>265</v>
      </c>
      <c r="F18" s="51" t="s">
        <v>444</v>
      </c>
      <c r="H18" s="59">
        <f>SUM(H14:H17)</f>
        <v>17842541.690000001</v>
      </c>
      <c r="I18" s="59">
        <f>SUM(I14:I17)</f>
        <v>0</v>
      </c>
      <c r="J18" s="59">
        <f>SUM(J14:J17)</f>
        <v>17842541.690000001</v>
      </c>
    </row>
    <row r="19" spans="1:15">
      <c r="A19" s="16" t="str">
        <f>IF(ISNUMBER(H19),MAX(A$11:A18)+1,"")</f>
        <v/>
      </c>
      <c r="H19" s="58"/>
      <c r="I19" s="58"/>
      <c r="J19" s="58"/>
    </row>
    <row r="20" spans="1:15">
      <c r="A20" s="16" t="str">
        <f>IF(ISNUMBER(H20),MAX(A$11:A19)+1,"")</f>
        <v/>
      </c>
      <c r="D20" s="53" t="s">
        <v>18</v>
      </c>
      <c r="H20" s="58"/>
      <c r="I20" s="58"/>
      <c r="J20" s="58"/>
    </row>
    <row r="21" spans="1:15">
      <c r="A21" s="16">
        <f>IF(ISNUMBER(H21),MAX(A$11:A20)+1,"")</f>
        <v>6</v>
      </c>
      <c r="C21" s="51">
        <v>165</v>
      </c>
      <c r="D21" s="51" t="s">
        <v>18</v>
      </c>
      <c r="F21" s="86" t="s">
        <v>269</v>
      </c>
      <c r="H21" s="61">
        <v>378473.44</v>
      </c>
      <c r="I21" s="61">
        <v>0</v>
      </c>
      <c r="J21" s="58">
        <f>H21+I21</f>
        <v>378473.44</v>
      </c>
      <c r="L21" s="58">
        <f>0.007177*J21</f>
        <v>2716.30387888</v>
      </c>
      <c r="M21" s="58">
        <f>J21*0.992823</f>
        <v>375757.13612112001</v>
      </c>
    </row>
    <row r="22" spans="1:15">
      <c r="A22" s="16">
        <f>IF(ISNUMBER(H22),MAX(A$11:A21)+1,"")</f>
        <v>7</v>
      </c>
      <c r="C22" s="51">
        <v>165</v>
      </c>
      <c r="D22" s="51" t="s">
        <v>18</v>
      </c>
      <c r="F22" s="86" t="s">
        <v>270</v>
      </c>
      <c r="H22" s="61">
        <v>1169111.49</v>
      </c>
      <c r="I22" s="61">
        <v>0</v>
      </c>
      <c r="J22" s="58">
        <f t="shared" ref="J22:J23" si="1">H22+I22</f>
        <v>1169111.49</v>
      </c>
      <c r="L22" s="58">
        <f>0.007177*J22</f>
        <v>8390.7131637300008</v>
      </c>
      <c r="M22" s="58">
        <f>J22*0.992823</f>
        <v>1160720.77683627</v>
      </c>
    </row>
    <row r="23" spans="1:15">
      <c r="A23" s="16">
        <f>IF(ISNUMBER(H23),MAX(A$11:A22)+1,"")</f>
        <v>8</v>
      </c>
      <c r="C23" s="51">
        <v>165</v>
      </c>
      <c r="D23" s="51" t="s">
        <v>18</v>
      </c>
      <c r="F23" s="86" t="s">
        <v>271</v>
      </c>
      <c r="H23" s="61">
        <v>172725.84</v>
      </c>
      <c r="I23" s="61">
        <v>-172725.84</v>
      </c>
      <c r="J23" s="58">
        <f t="shared" si="1"/>
        <v>0</v>
      </c>
      <c r="L23" s="61">
        <v>0</v>
      </c>
      <c r="M23" s="61">
        <v>0</v>
      </c>
      <c r="O23" s="51" t="s">
        <v>273</v>
      </c>
    </row>
    <row r="24" spans="1:15">
      <c r="A24" s="16">
        <f>IF(ISNUMBER(H24),MAX(A$11:A23)+1,"")</f>
        <v>9</v>
      </c>
      <c r="D24" s="60" t="s">
        <v>272</v>
      </c>
      <c r="F24" s="51" t="s">
        <v>445</v>
      </c>
      <c r="H24" s="66">
        <f>SUM(H21:H23)</f>
        <v>1720310.77</v>
      </c>
      <c r="I24" s="66">
        <f>SUM(I21:I23)</f>
        <v>-172725.84</v>
      </c>
      <c r="J24" s="66">
        <f>SUM(J21:J23)</f>
        <v>1547584.93</v>
      </c>
      <c r="L24" s="66">
        <f t="shared" ref="L24:M24" si="2">SUM(L21:L23)</f>
        <v>11107.017042610001</v>
      </c>
      <c r="M24" s="66">
        <f t="shared" si="2"/>
        <v>1536477.9129573901</v>
      </c>
    </row>
    <row r="25" spans="1:15">
      <c r="A25" s="16" t="str">
        <f>IF(ISNUMBER(H25),MAX(A$11:A24)+1,"")</f>
        <v/>
      </c>
      <c r="H25" s="58"/>
      <c r="I25" s="58"/>
      <c r="J25" s="58"/>
    </row>
    <row r="26" spans="1:15">
      <c r="A26" s="16" t="str">
        <f>IF(ISNUMBER(H26),MAX(A$11:A25)+1,"")</f>
        <v/>
      </c>
      <c r="H26" s="58"/>
      <c r="I26" s="58"/>
      <c r="J26" s="58"/>
    </row>
    <row r="27" spans="1:15">
      <c r="A27" s="9" t="s">
        <v>112</v>
      </c>
      <c r="B27" s="4"/>
      <c r="C27" s="2"/>
      <c r="H27" s="58"/>
      <c r="I27" s="58"/>
      <c r="J27" s="58"/>
    </row>
    <row r="28" spans="1:15">
      <c r="A28" s="9" t="s">
        <v>113</v>
      </c>
      <c r="B28" s="4"/>
      <c r="C28" s="2" t="s">
        <v>602</v>
      </c>
      <c r="D28" s="104" t="s">
        <v>601</v>
      </c>
      <c r="H28" s="58"/>
      <c r="I28" s="58"/>
      <c r="J28" s="58"/>
    </row>
    <row r="29" spans="1:15">
      <c r="A29" s="9" t="s">
        <v>115</v>
      </c>
      <c r="B29" s="4"/>
      <c r="C29" s="2" t="s">
        <v>218</v>
      </c>
      <c r="H29" s="58"/>
      <c r="I29" s="58"/>
      <c r="J29" s="58"/>
    </row>
    <row r="30" spans="1:15">
      <c r="A30" s="9" t="s">
        <v>235</v>
      </c>
      <c r="B30" s="4"/>
      <c r="C30" s="2" t="s">
        <v>614</v>
      </c>
      <c r="H30" s="58"/>
      <c r="I30" s="58"/>
      <c r="J30" s="58"/>
    </row>
    <row r="31" spans="1:15">
      <c r="H31" s="58"/>
      <c r="I31" s="58"/>
      <c r="J31" s="58"/>
    </row>
    <row r="32" spans="1:15">
      <c r="H32" s="58"/>
      <c r="I32" s="58"/>
      <c r="J32" s="58"/>
    </row>
    <row r="33" spans="8:10">
      <c r="H33" s="58"/>
      <c r="I33" s="58"/>
      <c r="J33" s="58"/>
    </row>
    <row r="34" spans="8:10">
      <c r="H34" s="58"/>
      <c r="I34" s="58"/>
      <c r="J34" s="58"/>
    </row>
    <row r="35" spans="8:10">
      <c r="H35" s="58"/>
      <c r="I35" s="58"/>
      <c r="J35" s="58"/>
    </row>
    <row r="36" spans="8:10">
      <c r="H36" s="58"/>
      <c r="I36" s="58"/>
      <c r="J36" s="58"/>
    </row>
    <row r="37" spans="8:10">
      <c r="H37" s="58"/>
      <c r="I37" s="58"/>
      <c r="J37" s="58"/>
    </row>
    <row r="38" spans="8:10">
      <c r="H38" s="58"/>
      <c r="I38" s="58"/>
      <c r="J38" s="58"/>
    </row>
    <row r="39" spans="8:10">
      <c r="H39" s="58"/>
      <c r="I39" s="58"/>
      <c r="J39" s="58"/>
    </row>
    <row r="40" spans="8:10">
      <c r="H40" s="58"/>
      <c r="I40" s="58"/>
      <c r="J40" s="58"/>
    </row>
    <row r="41" spans="8:10">
      <c r="H41" s="58"/>
      <c r="I41" s="58"/>
      <c r="J41" s="58"/>
    </row>
    <row r="42" spans="8:10">
      <c r="H42" s="58"/>
      <c r="I42" s="58"/>
      <c r="J42" s="58"/>
    </row>
    <row r="43" spans="8:10">
      <c r="H43" s="58"/>
      <c r="I43" s="58"/>
      <c r="J43" s="58"/>
    </row>
    <row r="44" spans="8:10">
      <c r="H44" s="58"/>
      <c r="I44" s="58"/>
      <c r="J44" s="58"/>
    </row>
    <row r="45" spans="8:10">
      <c r="H45" s="58"/>
      <c r="I45" s="58"/>
      <c r="J45" s="58"/>
    </row>
    <row r="46" spans="8:10">
      <c r="H46" s="58"/>
      <c r="I46" s="58"/>
      <c r="J46" s="58"/>
    </row>
    <row r="47" spans="8:10">
      <c r="H47" s="58"/>
      <c r="I47" s="58"/>
      <c r="J47" s="58"/>
    </row>
    <row r="48" spans="8:10">
      <c r="H48" s="58"/>
      <c r="I48" s="58"/>
      <c r="J48" s="58"/>
    </row>
    <row r="49" spans="8:10">
      <c r="H49" s="58"/>
      <c r="I49" s="58"/>
      <c r="J49" s="58"/>
    </row>
    <row r="50" spans="8:10">
      <c r="H50" s="58"/>
      <c r="I50" s="58"/>
      <c r="J50" s="58"/>
    </row>
    <row r="51" spans="8:10">
      <c r="H51" s="58"/>
      <c r="I51" s="58"/>
      <c r="J51" s="58"/>
    </row>
    <row r="52" spans="8:10">
      <c r="H52" s="58"/>
      <c r="I52" s="58"/>
      <c r="J52" s="58"/>
    </row>
    <row r="53" spans="8:10">
      <c r="H53" s="58"/>
      <c r="I53" s="58"/>
      <c r="J53" s="58"/>
    </row>
    <row r="54" spans="8:10">
      <c r="H54" s="58"/>
      <c r="I54" s="58"/>
      <c r="J54" s="58"/>
    </row>
    <row r="55" spans="8:10">
      <c r="H55" s="58"/>
      <c r="I55" s="58"/>
      <c r="J55" s="58"/>
    </row>
    <row r="56" spans="8:10">
      <c r="H56" s="58"/>
      <c r="I56" s="58"/>
      <c r="J56" s="58"/>
    </row>
    <row r="57" spans="8:10">
      <c r="H57" s="58"/>
      <c r="I57" s="58"/>
      <c r="J57" s="58"/>
    </row>
    <row r="58" spans="8:10">
      <c r="H58" s="58"/>
      <c r="I58" s="58"/>
      <c r="J58" s="58"/>
    </row>
    <row r="59" spans="8:10">
      <c r="H59" s="58"/>
      <c r="I59" s="58"/>
      <c r="J59" s="58"/>
    </row>
    <row r="60" spans="8:10">
      <c r="H60" s="58"/>
      <c r="I60" s="58"/>
      <c r="J60" s="58"/>
    </row>
    <row r="61" spans="8:10">
      <c r="H61" s="58"/>
      <c r="I61" s="58"/>
      <c r="J61" s="58"/>
    </row>
    <row r="62" spans="8:10">
      <c r="H62" s="58"/>
      <c r="I62" s="58"/>
      <c r="J62" s="58"/>
    </row>
    <row r="63" spans="8:10">
      <c r="H63" s="58"/>
      <c r="I63" s="58"/>
      <c r="J63" s="58"/>
    </row>
    <row r="64" spans="8:10">
      <c r="H64" s="58"/>
      <c r="I64" s="58"/>
      <c r="J64" s="58"/>
    </row>
    <row r="65" spans="8:10">
      <c r="H65" s="58"/>
      <c r="I65" s="58"/>
      <c r="J65" s="58"/>
    </row>
    <row r="66" spans="8:10">
      <c r="H66" s="58"/>
      <c r="I66" s="58"/>
      <c r="J66" s="58"/>
    </row>
    <row r="67" spans="8:10">
      <c r="H67" s="58"/>
      <c r="I67" s="58"/>
      <c r="J67" s="58"/>
    </row>
    <row r="68" spans="8:10">
      <c r="H68" s="58"/>
      <c r="I68" s="58"/>
      <c r="J68" s="58"/>
    </row>
    <row r="69" spans="8:10">
      <c r="H69" s="58"/>
      <c r="I69" s="58"/>
      <c r="J69" s="58"/>
    </row>
    <row r="70" spans="8:10">
      <c r="H70" s="58"/>
      <c r="I70" s="58"/>
      <c r="J70" s="58"/>
    </row>
    <row r="71" spans="8:10">
      <c r="H71" s="58"/>
      <c r="I71" s="58"/>
      <c r="J71" s="58"/>
    </row>
    <row r="72" spans="8:10">
      <c r="H72" s="58"/>
      <c r="I72" s="58"/>
      <c r="J72" s="58"/>
    </row>
    <row r="73" spans="8:10">
      <c r="H73" s="58"/>
      <c r="I73" s="58"/>
      <c r="J73" s="58"/>
    </row>
    <row r="74" spans="8:10">
      <c r="H74" s="58"/>
      <c r="I74" s="58"/>
      <c r="J74" s="58"/>
    </row>
    <row r="75" spans="8:10">
      <c r="H75" s="58"/>
      <c r="I75" s="58"/>
      <c r="J75" s="58"/>
    </row>
    <row r="76" spans="8:10">
      <c r="H76" s="58"/>
      <c r="I76" s="58"/>
      <c r="J76" s="58"/>
    </row>
    <row r="77" spans="8:10">
      <c r="H77" s="58"/>
      <c r="I77" s="58"/>
      <c r="J77" s="58"/>
    </row>
    <row r="78" spans="8:10">
      <c r="H78" s="58"/>
      <c r="I78" s="58"/>
      <c r="J78" s="58"/>
    </row>
    <row r="79" spans="8:10">
      <c r="H79" s="58"/>
      <c r="I79" s="58"/>
      <c r="J79" s="58"/>
    </row>
    <row r="80" spans="8:10">
      <c r="H80" s="58"/>
      <c r="I80" s="58"/>
      <c r="J80" s="58"/>
    </row>
    <row r="81" spans="8:10">
      <c r="H81" s="58"/>
      <c r="I81" s="58"/>
      <c r="J81" s="58"/>
    </row>
  </sheetData>
  <mergeCells count="1">
    <mergeCell ref="H7:J7"/>
  </mergeCells>
  <printOptions horizontalCentered="1"/>
  <pageMargins left="0.5" right="0.5" top="0.5" bottom="0.5" header="0.25" footer="0.25"/>
  <pageSetup scale="55" orientation="landscape" horizontalDpi="1200" verticalDpi="1200" r:id="rId1"/>
  <headerFoot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="70" zoomScaleNormal="70" workbookViewId="0">
      <selection activeCell="R24" sqref="R23:R24"/>
    </sheetView>
  </sheetViews>
  <sheetFormatPr defaultColWidth="9.08984375" defaultRowHeight="14"/>
  <cols>
    <col min="1" max="1" width="5.6328125" style="51" customWidth="1"/>
    <col min="2" max="2" width="1.6328125" style="51" customWidth="1"/>
    <col min="3" max="3" width="42.36328125" style="51" customWidth="1"/>
    <col min="4" max="4" width="14.90625" style="51" bestFit="1" customWidth="1"/>
    <col min="5" max="5" width="1.6328125" style="51" customWidth="1"/>
    <col min="6" max="6" width="11.453125" style="51" customWidth="1"/>
    <col min="7" max="7" width="1.6328125" style="52" customWidth="1"/>
    <col min="8" max="8" width="18.90625" style="51" bestFit="1" customWidth="1"/>
    <col min="9" max="9" width="9.453125" style="51" bestFit="1" customWidth="1"/>
    <col min="10" max="16384" width="9.08984375" style="51"/>
  </cols>
  <sheetData>
    <row r="1" spans="1:8">
      <c r="A1" s="1" t="s">
        <v>274</v>
      </c>
      <c r="B1" s="1"/>
    </row>
    <row r="2" spans="1:8">
      <c r="A2" s="1" t="str">
        <f>'Appendix B - COS'!$A$2</f>
        <v>Grant County Public Utility District</v>
      </c>
      <c r="B2" s="1"/>
    </row>
    <row r="3" spans="1:8">
      <c r="A3" s="1" t="s">
        <v>21</v>
      </c>
      <c r="B3" s="1"/>
    </row>
    <row r="4" spans="1:8">
      <c r="A4" s="1" t="str">
        <f>'Appendix B - COS'!$A$4</f>
        <v>Fiscal Year Ending December 31, 2017</v>
      </c>
      <c r="B4" s="1"/>
    </row>
    <row r="5" spans="1:8">
      <c r="A5" s="1" t="str">
        <f>'Appendix B - COS'!$A$5</f>
        <v>Draft of June 19, 2019</v>
      </c>
      <c r="B5" s="1"/>
    </row>
    <row r="6" spans="1:8">
      <c r="A6" s="1"/>
      <c r="B6" s="1"/>
    </row>
    <row r="7" spans="1:8">
      <c r="A7" s="4"/>
      <c r="B7" s="4"/>
      <c r="C7" s="53"/>
      <c r="D7" s="53"/>
      <c r="E7" s="53"/>
      <c r="F7" s="53"/>
      <c r="G7" s="54"/>
    </row>
    <row r="8" spans="1:8">
      <c r="A8" s="9" t="s">
        <v>43</v>
      </c>
      <c r="B8" s="9"/>
      <c r="C8" s="55"/>
      <c r="D8" s="55" t="s">
        <v>277</v>
      </c>
      <c r="E8" s="55"/>
      <c r="F8" s="55" t="s">
        <v>280</v>
      </c>
      <c r="G8" s="56"/>
      <c r="H8" s="55" t="s">
        <v>284</v>
      </c>
    </row>
    <row r="9" spans="1:8" ht="14.5" thickBot="1">
      <c r="A9" s="11" t="s">
        <v>1</v>
      </c>
      <c r="B9" s="12"/>
      <c r="C9" s="57" t="s">
        <v>276</v>
      </c>
      <c r="D9" s="57" t="s">
        <v>278</v>
      </c>
      <c r="E9" s="55"/>
      <c r="F9" s="57" t="s">
        <v>281</v>
      </c>
      <c r="G9" s="56"/>
      <c r="H9" s="57" t="s">
        <v>285</v>
      </c>
    </row>
    <row r="10" spans="1:8">
      <c r="A10" s="4"/>
      <c r="B10" s="4"/>
      <c r="C10" s="7" t="s">
        <v>2</v>
      </c>
      <c r="D10" s="7" t="s">
        <v>3</v>
      </c>
      <c r="F10" s="7" t="s">
        <v>4</v>
      </c>
      <c r="G10" s="51"/>
      <c r="H10" s="7" t="s">
        <v>5</v>
      </c>
    </row>
    <row r="12" spans="1:8">
      <c r="C12" s="53" t="s">
        <v>275</v>
      </c>
    </row>
    <row r="13" spans="1:8">
      <c r="C13" s="53"/>
    </row>
    <row r="14" spans="1:8">
      <c r="A14" s="16">
        <f>IF(ISNUMBER(H14),MAX(A$11:A13)+1,"")</f>
        <v>1</v>
      </c>
      <c r="C14" s="82" t="s">
        <v>282</v>
      </c>
      <c r="D14" s="109">
        <v>0.6</v>
      </c>
      <c r="F14" s="110">
        <v>3.5000000000000003E-2</v>
      </c>
      <c r="H14" s="197">
        <f>D14*F14</f>
        <v>2.1000000000000001E-2</v>
      </c>
    </row>
    <row r="15" spans="1:8">
      <c r="A15" s="16">
        <f>IF(ISNUMBER(H15),MAX(A$11:A14)+1,"")</f>
        <v>2</v>
      </c>
      <c r="C15" s="82" t="s">
        <v>283</v>
      </c>
      <c r="D15" s="109">
        <v>0.4</v>
      </c>
      <c r="F15" s="110">
        <v>9.8000000000000004E-2</v>
      </c>
      <c r="H15" s="197">
        <f>D15*F15</f>
        <v>3.9200000000000006E-2</v>
      </c>
    </row>
    <row r="16" spans="1:8">
      <c r="A16" s="16">
        <f>IF(ISNUMBER(H16),MAX(A$11:A15)+1,"")</f>
        <v>3</v>
      </c>
      <c r="C16" s="83" t="s">
        <v>34</v>
      </c>
      <c r="D16" s="84">
        <f>SUM(D14:D15)</f>
        <v>1</v>
      </c>
      <c r="H16" s="85">
        <f>SUM(H14:H15)</f>
        <v>6.0200000000000004E-2</v>
      </c>
    </row>
    <row r="17" spans="1:3">
      <c r="A17" s="16" t="str">
        <f>IF(ISNUMBER(#REF!),MAX(A$11:A16)+1,"")</f>
        <v/>
      </c>
    </row>
    <row r="18" spans="1:3">
      <c r="A18" s="9" t="s">
        <v>112</v>
      </c>
      <c r="B18" s="4"/>
      <c r="C18" s="2"/>
    </row>
    <row r="19" spans="1:3">
      <c r="A19" s="9" t="s">
        <v>113</v>
      </c>
      <c r="B19" s="4"/>
      <c r="C19" s="2" t="s">
        <v>279</v>
      </c>
    </row>
    <row r="20" spans="1:3">
      <c r="A20" s="9"/>
      <c r="B20" s="4"/>
      <c r="C20" s="2"/>
    </row>
    <row r="21" spans="1:3">
      <c r="A21" s="9" t="s">
        <v>115</v>
      </c>
      <c r="B21" s="4"/>
      <c r="C21" s="2" t="s">
        <v>338</v>
      </c>
    </row>
    <row r="22" spans="1:3">
      <c r="A22" s="9"/>
      <c r="B22" s="4"/>
      <c r="C22" s="2"/>
    </row>
    <row r="23" spans="1:3">
      <c r="A23" s="9" t="s">
        <v>235</v>
      </c>
      <c r="C23" s="51" t="s">
        <v>339</v>
      </c>
    </row>
    <row r="24" spans="1:3">
      <c r="A24" s="16" t="str">
        <f>IF(ISNUMBER(#REF!),MAX(A$11:A23)+1,"")</f>
        <v/>
      </c>
      <c r="C24" s="51" t="s">
        <v>287</v>
      </c>
    </row>
    <row r="25" spans="1:3">
      <c r="A25" s="16" t="str">
        <f>IF(ISNUMBER(#REF!),MAX(A$11:A24)+1,"")</f>
        <v/>
      </c>
      <c r="C25" s="51" t="s">
        <v>288</v>
      </c>
    </row>
    <row r="26" spans="1:3">
      <c r="C26" s="51" t="s">
        <v>289</v>
      </c>
    </row>
    <row r="27" spans="1:3">
      <c r="C27" s="51" t="s">
        <v>290</v>
      </c>
    </row>
  </sheetData>
  <printOptions horizontalCentered="1"/>
  <pageMargins left="0.5" right="0.5" top="0.5" bottom="0.5" header="0.25" footer="0.25"/>
  <pageSetup scale="96" orientation="portrait" horizontalDpi="1200" verticalDpi="1200" r:id="rId1"/>
  <headerFoot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opLeftCell="A10" zoomScale="70" zoomScaleNormal="70" workbookViewId="0">
      <selection activeCell="F63" sqref="F63"/>
    </sheetView>
  </sheetViews>
  <sheetFormatPr defaultColWidth="9.08984375" defaultRowHeight="14"/>
  <cols>
    <col min="1" max="1" width="5.6328125" style="51" customWidth="1"/>
    <col min="2" max="2" width="1.6328125" style="51" customWidth="1"/>
    <col min="3" max="3" width="9.08984375" style="51"/>
    <col min="4" max="4" width="44.54296875" style="51" bestFit="1" customWidth="1"/>
    <col min="5" max="5" width="1.6328125" style="51" customWidth="1"/>
    <col min="6" max="6" width="54.90625" style="51" bestFit="1" customWidth="1"/>
    <col min="7" max="7" width="1.6328125" style="52" customWidth="1"/>
    <col min="8" max="8" width="13.90625" style="51" bestFit="1" customWidth="1"/>
    <col min="9" max="9" width="1.6328125" style="51" customWidth="1"/>
    <col min="10" max="10" width="13.90625" style="51" bestFit="1" customWidth="1"/>
    <col min="11" max="13" width="13.90625" style="51" customWidth="1"/>
    <col min="14" max="14" width="1.6328125" style="51" customWidth="1"/>
    <col min="15" max="15" width="38.6328125" style="51" bestFit="1" customWidth="1"/>
    <col min="16" max="16384" width="9.08984375" style="51"/>
  </cols>
  <sheetData>
    <row r="1" spans="1:15">
      <c r="A1" s="1" t="s">
        <v>293</v>
      </c>
      <c r="B1" s="1"/>
    </row>
    <row r="2" spans="1:15">
      <c r="A2" s="1" t="str">
        <f>'Appendix B - COS'!$A$2</f>
        <v>Grant County Public Utility District</v>
      </c>
      <c r="B2" s="1"/>
    </row>
    <row r="3" spans="1:15">
      <c r="A3" s="1" t="s">
        <v>24</v>
      </c>
      <c r="B3" s="1"/>
    </row>
    <row r="4" spans="1:15">
      <c r="A4" s="1" t="str">
        <f>'Appendix B - COS'!$A$4</f>
        <v>Fiscal Year Ending December 31, 2017</v>
      </c>
      <c r="B4" s="1"/>
    </row>
    <row r="5" spans="1:15">
      <c r="A5" s="1" t="str">
        <f>'Appendix B - COS'!$A$5</f>
        <v>Draft of June 19, 2019</v>
      </c>
      <c r="B5" s="1"/>
    </row>
    <row r="6" spans="1:15">
      <c r="A6" s="1"/>
      <c r="B6" s="1"/>
    </row>
    <row r="7" spans="1:15">
      <c r="A7" s="4"/>
      <c r="B7" s="4"/>
      <c r="C7" s="53"/>
      <c r="D7" s="53"/>
      <c r="E7" s="53"/>
      <c r="F7" s="53"/>
      <c r="G7" s="54"/>
      <c r="H7" s="55" t="s">
        <v>34</v>
      </c>
      <c r="I7" s="53" t="s">
        <v>52</v>
      </c>
      <c r="J7" s="93" t="s">
        <v>49</v>
      </c>
      <c r="K7" s="93"/>
      <c r="L7" s="93"/>
      <c r="M7" s="93"/>
      <c r="N7" s="53"/>
    </row>
    <row r="8" spans="1:15">
      <c r="A8" s="9" t="s">
        <v>43</v>
      </c>
      <c r="B8" s="9"/>
      <c r="C8" s="55" t="s">
        <v>94</v>
      </c>
      <c r="D8" s="55"/>
      <c r="E8" s="55"/>
      <c r="F8" s="55"/>
      <c r="G8" s="56"/>
      <c r="H8" s="56" t="s">
        <v>23</v>
      </c>
      <c r="I8" s="53"/>
      <c r="J8" s="92"/>
      <c r="K8" s="92"/>
      <c r="L8" s="92"/>
      <c r="M8" s="92"/>
      <c r="N8" s="53"/>
    </row>
    <row r="9" spans="1:15" ht="14.5" thickBot="1">
      <c r="A9" s="11" t="s">
        <v>1</v>
      </c>
      <c r="B9" s="12"/>
      <c r="C9" s="57" t="s">
        <v>95</v>
      </c>
      <c r="D9" s="57" t="s">
        <v>53</v>
      </c>
      <c r="E9" s="55"/>
      <c r="F9" s="57" t="s">
        <v>54</v>
      </c>
      <c r="G9" s="56"/>
      <c r="H9" s="57" t="s">
        <v>333</v>
      </c>
      <c r="I9" s="53"/>
      <c r="J9" s="57" t="s">
        <v>329</v>
      </c>
      <c r="K9" s="57" t="s">
        <v>330</v>
      </c>
      <c r="L9" s="57" t="s">
        <v>331</v>
      </c>
      <c r="M9" s="57" t="s">
        <v>34</v>
      </c>
      <c r="N9" s="53"/>
      <c r="O9" s="57" t="s">
        <v>332</v>
      </c>
    </row>
    <row r="10" spans="1:15">
      <c r="A10" s="4"/>
      <c r="B10" s="4"/>
      <c r="C10" s="7" t="s">
        <v>2</v>
      </c>
      <c r="D10" s="7" t="s">
        <v>3</v>
      </c>
      <c r="F10" s="7" t="s">
        <v>4</v>
      </c>
      <c r="G10" s="51"/>
      <c r="H10" s="7" t="s">
        <v>5</v>
      </c>
      <c r="J10" s="7" t="s">
        <v>6</v>
      </c>
      <c r="K10" s="7" t="s">
        <v>7</v>
      </c>
      <c r="L10" s="7" t="s">
        <v>117</v>
      </c>
      <c r="M10" s="7" t="s">
        <v>118</v>
      </c>
      <c r="O10" s="7" t="s">
        <v>334</v>
      </c>
    </row>
    <row r="11" spans="1:15">
      <c r="J11" s="62"/>
      <c r="K11" s="62"/>
      <c r="L11" s="62"/>
      <c r="M11" s="95" t="s">
        <v>337</v>
      </c>
    </row>
    <row r="12" spans="1:15">
      <c r="D12" s="53" t="s">
        <v>319</v>
      </c>
      <c r="H12" s="58"/>
      <c r="J12" s="58"/>
      <c r="K12" s="58"/>
      <c r="L12" s="58"/>
      <c r="M12" s="58"/>
    </row>
    <row r="13" spans="1:15">
      <c r="A13" s="16">
        <f>IF(ISNUMBER(H13),MAX(A$11:A12)+1,"")</f>
        <v>1</v>
      </c>
      <c r="C13" s="51">
        <v>236</v>
      </c>
      <c r="D13" s="51" t="s">
        <v>320</v>
      </c>
      <c r="F13" s="86" t="s">
        <v>294</v>
      </c>
      <c r="H13" s="87">
        <v>910007.08</v>
      </c>
      <c r="I13" s="104"/>
      <c r="J13" s="87">
        <f>H13</f>
        <v>910007.08</v>
      </c>
      <c r="K13" s="87"/>
      <c r="L13" s="87"/>
      <c r="M13" s="88">
        <f t="shared" ref="M13:M37" si="0">SUM(J13:L13)</f>
        <v>910007.08</v>
      </c>
    </row>
    <row r="14" spans="1:15">
      <c r="A14" s="16">
        <f>IF(ISNUMBER(H14),MAX(A$11:A13)+1,"")</f>
        <v>2</v>
      </c>
      <c r="C14" s="51">
        <v>236</v>
      </c>
      <c r="D14" s="51" t="s">
        <v>320</v>
      </c>
      <c r="F14" s="86" t="s">
        <v>295</v>
      </c>
      <c r="H14" s="87">
        <v>3900347.45</v>
      </c>
      <c r="I14" s="104"/>
      <c r="J14" s="87"/>
      <c r="K14" s="87"/>
      <c r="L14" s="87">
        <f>H14</f>
        <v>3900347.45</v>
      </c>
      <c r="M14" s="88">
        <f t="shared" si="0"/>
        <v>3900347.45</v>
      </c>
      <c r="O14" s="51" t="s">
        <v>323</v>
      </c>
    </row>
    <row r="15" spans="1:15">
      <c r="A15" s="16">
        <f>IF(ISNUMBER(H15),MAX(A$11:A14)+1,"")</f>
        <v>3</v>
      </c>
      <c r="C15" s="51">
        <v>236</v>
      </c>
      <c r="D15" s="51" t="s">
        <v>320</v>
      </c>
      <c r="F15" s="86" t="s">
        <v>296</v>
      </c>
      <c r="H15" s="87">
        <v>1769.91</v>
      </c>
      <c r="I15" s="104"/>
      <c r="J15" s="87">
        <f>H15</f>
        <v>1769.91</v>
      </c>
      <c r="K15" s="87"/>
      <c r="L15" s="87"/>
      <c r="M15" s="88">
        <f t="shared" si="0"/>
        <v>1769.91</v>
      </c>
    </row>
    <row r="16" spans="1:15">
      <c r="A16" s="16">
        <f>IF(ISNUMBER(H16),MAX(A$11:A15)+1,"")</f>
        <v>4</v>
      </c>
      <c r="C16" s="51">
        <v>236</v>
      </c>
      <c r="D16" s="51" t="s">
        <v>320</v>
      </c>
      <c r="F16" s="86" t="s">
        <v>297</v>
      </c>
      <c r="H16" s="87">
        <v>44746.720000000001</v>
      </c>
      <c r="I16" s="104"/>
      <c r="J16" s="87"/>
      <c r="K16" s="87"/>
      <c r="L16" s="87">
        <f t="shared" ref="L16:L32" si="1">H16</f>
        <v>44746.720000000001</v>
      </c>
      <c r="M16" s="88">
        <f t="shared" si="0"/>
        <v>44746.720000000001</v>
      </c>
      <c r="O16" s="51" t="s">
        <v>325</v>
      </c>
    </row>
    <row r="17" spans="1:15">
      <c r="A17" s="16">
        <f>IF(ISNUMBER(H17),MAX(A$11:A16)+1,"")</f>
        <v>5</v>
      </c>
      <c r="C17" s="51">
        <v>236</v>
      </c>
      <c r="D17" s="51" t="s">
        <v>320</v>
      </c>
      <c r="F17" s="86" t="s">
        <v>298</v>
      </c>
      <c r="H17" s="87">
        <v>91508.98</v>
      </c>
      <c r="I17" s="104"/>
      <c r="J17" s="87"/>
      <c r="K17" s="87"/>
      <c r="L17" s="87">
        <f t="shared" si="1"/>
        <v>91508.98</v>
      </c>
      <c r="M17" s="88">
        <f t="shared" si="0"/>
        <v>91508.98</v>
      </c>
      <c r="O17" s="51" t="s">
        <v>325</v>
      </c>
    </row>
    <row r="18" spans="1:15">
      <c r="A18" s="16">
        <f>IF(ISNUMBER(H18),MAX(A$11:A17)+1,"")</f>
        <v>6</v>
      </c>
      <c r="C18" s="51">
        <v>236</v>
      </c>
      <c r="D18" s="51" t="s">
        <v>320</v>
      </c>
      <c r="F18" s="86" t="s">
        <v>299</v>
      </c>
      <c r="H18" s="87">
        <v>13378</v>
      </c>
      <c r="I18" s="104"/>
      <c r="J18" s="87"/>
      <c r="K18" s="87"/>
      <c r="L18" s="87">
        <f t="shared" si="1"/>
        <v>13378</v>
      </c>
      <c r="M18" s="88">
        <f t="shared" si="0"/>
        <v>13378</v>
      </c>
      <c r="O18" s="51" t="s">
        <v>325</v>
      </c>
    </row>
    <row r="19" spans="1:15">
      <c r="A19" s="16">
        <f>IF(ISNUMBER(H19),MAX(A$11:A18)+1,"")</f>
        <v>7</v>
      </c>
      <c r="C19" s="51">
        <v>236</v>
      </c>
      <c r="D19" s="51" t="s">
        <v>320</v>
      </c>
      <c r="F19" s="86" t="s">
        <v>300</v>
      </c>
      <c r="H19" s="87">
        <v>9521.5400000000009</v>
      </c>
      <c r="I19" s="104"/>
      <c r="J19" s="87"/>
      <c r="K19" s="87"/>
      <c r="L19" s="87">
        <f t="shared" si="1"/>
        <v>9521.5400000000009</v>
      </c>
      <c r="M19" s="88">
        <f t="shared" si="0"/>
        <v>9521.5400000000009</v>
      </c>
      <c r="O19" s="51" t="s">
        <v>325</v>
      </c>
    </row>
    <row r="20" spans="1:15">
      <c r="A20" s="16">
        <f>IF(ISNUMBER(H20),MAX(A$11:A19)+1,"")</f>
        <v>8</v>
      </c>
      <c r="C20" s="51">
        <v>236</v>
      </c>
      <c r="D20" s="51" t="s">
        <v>320</v>
      </c>
      <c r="F20" s="86" t="s">
        <v>301</v>
      </c>
      <c r="H20" s="87">
        <v>-2793.89</v>
      </c>
      <c r="I20" s="104"/>
      <c r="J20" s="87"/>
      <c r="K20" s="87"/>
      <c r="L20" s="87">
        <f t="shared" si="1"/>
        <v>-2793.89</v>
      </c>
      <c r="M20" s="88">
        <f t="shared" si="0"/>
        <v>-2793.89</v>
      </c>
      <c r="O20" s="51" t="s">
        <v>325</v>
      </c>
    </row>
    <row r="21" spans="1:15">
      <c r="A21" s="16">
        <f>IF(ISNUMBER(H21),MAX(A$11:A20)+1,"")</f>
        <v>9</v>
      </c>
      <c r="C21" s="51">
        <v>236</v>
      </c>
      <c r="D21" s="51" t="s">
        <v>320</v>
      </c>
      <c r="F21" s="86" t="s">
        <v>302</v>
      </c>
      <c r="H21" s="87">
        <v>502.52</v>
      </c>
      <c r="I21" s="104"/>
      <c r="J21" s="87"/>
      <c r="K21" s="87"/>
      <c r="L21" s="87">
        <f t="shared" si="1"/>
        <v>502.52</v>
      </c>
      <c r="M21" s="88">
        <f t="shared" si="0"/>
        <v>502.52</v>
      </c>
      <c r="O21" s="51" t="s">
        <v>325</v>
      </c>
    </row>
    <row r="22" spans="1:15">
      <c r="A22" s="16">
        <f>IF(ISNUMBER(H22),MAX(A$11:A21)+1,"")</f>
        <v>10</v>
      </c>
      <c r="C22" s="51">
        <v>236</v>
      </c>
      <c r="D22" s="51" t="s">
        <v>320</v>
      </c>
      <c r="F22" s="86" t="s">
        <v>303</v>
      </c>
      <c r="H22" s="87">
        <v>6601.72</v>
      </c>
      <c r="I22" s="104"/>
      <c r="J22" s="87"/>
      <c r="K22" s="87"/>
      <c r="L22" s="87">
        <f t="shared" si="1"/>
        <v>6601.72</v>
      </c>
      <c r="M22" s="88">
        <f t="shared" si="0"/>
        <v>6601.72</v>
      </c>
      <c r="O22" s="51" t="s">
        <v>325</v>
      </c>
    </row>
    <row r="23" spans="1:15">
      <c r="A23" s="16">
        <f>IF(ISNUMBER(H23),MAX(A$11:A22)+1,"")</f>
        <v>11</v>
      </c>
      <c r="C23" s="51">
        <v>236</v>
      </c>
      <c r="D23" s="51" t="s">
        <v>320</v>
      </c>
      <c r="F23" s="86" t="s">
        <v>304</v>
      </c>
      <c r="H23" s="87">
        <v>2942.95</v>
      </c>
      <c r="I23" s="104"/>
      <c r="J23" s="87"/>
      <c r="K23" s="87"/>
      <c r="L23" s="87">
        <f t="shared" si="1"/>
        <v>2942.95</v>
      </c>
      <c r="M23" s="88">
        <f t="shared" si="0"/>
        <v>2942.95</v>
      </c>
      <c r="O23" s="51" t="s">
        <v>325</v>
      </c>
    </row>
    <row r="24" spans="1:15">
      <c r="A24" s="16">
        <f>IF(ISNUMBER(H24),MAX(A$11:A23)+1,"")</f>
        <v>12</v>
      </c>
      <c r="C24" s="51">
        <v>236</v>
      </c>
      <c r="D24" s="51" t="s">
        <v>320</v>
      </c>
      <c r="F24" s="86" t="s">
        <v>305</v>
      </c>
      <c r="H24" s="87">
        <v>6749.24</v>
      </c>
      <c r="I24" s="104"/>
      <c r="J24" s="87"/>
      <c r="K24" s="87"/>
      <c r="L24" s="87">
        <f t="shared" si="1"/>
        <v>6749.24</v>
      </c>
      <c r="M24" s="88">
        <f t="shared" si="0"/>
        <v>6749.24</v>
      </c>
      <c r="O24" s="51" t="s">
        <v>325</v>
      </c>
    </row>
    <row r="25" spans="1:15">
      <c r="A25" s="16">
        <f>IF(ISNUMBER(H25),MAX(A$11:A24)+1,"")</f>
        <v>13</v>
      </c>
      <c r="C25" s="51">
        <v>236</v>
      </c>
      <c r="D25" s="51" t="s">
        <v>320</v>
      </c>
      <c r="F25" s="86" t="s">
        <v>306</v>
      </c>
      <c r="H25" s="87">
        <v>3771.99</v>
      </c>
      <c r="I25" s="104"/>
      <c r="J25" s="87"/>
      <c r="K25" s="87"/>
      <c r="L25" s="87">
        <f t="shared" si="1"/>
        <v>3771.99</v>
      </c>
      <c r="M25" s="88">
        <f t="shared" si="0"/>
        <v>3771.99</v>
      </c>
      <c r="O25" s="51" t="s">
        <v>325</v>
      </c>
    </row>
    <row r="26" spans="1:15">
      <c r="A26" s="16">
        <f>IF(ISNUMBER(H26),MAX(A$11:A25)+1,"")</f>
        <v>14</v>
      </c>
      <c r="C26" s="51">
        <v>236</v>
      </c>
      <c r="D26" s="51" t="s">
        <v>320</v>
      </c>
      <c r="F26" s="86" t="s">
        <v>307</v>
      </c>
      <c r="H26" s="87">
        <v>6814.19</v>
      </c>
      <c r="I26" s="104"/>
      <c r="J26" s="87"/>
      <c r="K26" s="87"/>
      <c r="L26" s="87">
        <f t="shared" si="1"/>
        <v>6814.19</v>
      </c>
      <c r="M26" s="88">
        <f t="shared" si="0"/>
        <v>6814.19</v>
      </c>
      <c r="O26" s="51" t="s">
        <v>325</v>
      </c>
    </row>
    <row r="27" spans="1:15">
      <c r="A27" s="16">
        <f>IF(ISNUMBER(H27),MAX(A$11:A26)+1,"")</f>
        <v>15</v>
      </c>
      <c r="C27" s="51">
        <v>236</v>
      </c>
      <c r="D27" s="51" t="s">
        <v>320</v>
      </c>
      <c r="F27" s="86" t="s">
        <v>308</v>
      </c>
      <c r="H27" s="87">
        <v>715.93</v>
      </c>
      <c r="I27" s="104"/>
      <c r="J27" s="87"/>
      <c r="K27" s="87"/>
      <c r="L27" s="87">
        <f t="shared" si="1"/>
        <v>715.93</v>
      </c>
      <c r="M27" s="88">
        <f t="shared" si="0"/>
        <v>715.93</v>
      </c>
      <c r="O27" s="51" t="s">
        <v>325</v>
      </c>
    </row>
    <row r="28" spans="1:15">
      <c r="A28" s="16">
        <f>IF(ISNUMBER(H28),MAX(A$11:A27)+1,"")</f>
        <v>16</v>
      </c>
      <c r="C28" s="51">
        <v>236</v>
      </c>
      <c r="D28" s="51" t="s">
        <v>320</v>
      </c>
      <c r="F28" s="86" t="s">
        <v>309</v>
      </c>
      <c r="H28" s="87">
        <v>3584.54</v>
      </c>
      <c r="I28" s="104"/>
      <c r="J28" s="87"/>
      <c r="K28" s="87"/>
      <c r="L28" s="87">
        <f t="shared" si="1"/>
        <v>3584.54</v>
      </c>
      <c r="M28" s="88">
        <f t="shared" si="0"/>
        <v>3584.54</v>
      </c>
      <c r="O28" s="51" t="s">
        <v>325</v>
      </c>
    </row>
    <row r="29" spans="1:15">
      <c r="A29" s="16">
        <f>IF(ISNUMBER(H29),MAX(A$11:A28)+1,"")</f>
        <v>17</v>
      </c>
      <c r="C29" s="51">
        <v>236</v>
      </c>
      <c r="D29" s="51" t="s">
        <v>320</v>
      </c>
      <c r="F29" s="86" t="s">
        <v>310</v>
      </c>
      <c r="H29" s="87">
        <v>6521.15</v>
      </c>
      <c r="I29" s="104"/>
      <c r="J29" s="87"/>
      <c r="K29" s="87"/>
      <c r="L29" s="87">
        <f t="shared" si="1"/>
        <v>6521.15</v>
      </c>
      <c r="M29" s="88">
        <f t="shared" si="0"/>
        <v>6521.15</v>
      </c>
      <c r="O29" s="51" t="s">
        <v>323</v>
      </c>
    </row>
    <row r="30" spans="1:15">
      <c r="A30" s="16">
        <f>IF(ISNUMBER(H30),MAX(A$11:A29)+1,"")</f>
        <v>18</v>
      </c>
      <c r="C30" s="51">
        <v>236</v>
      </c>
      <c r="D30" s="51" t="s">
        <v>320</v>
      </c>
      <c r="F30" s="86" t="s">
        <v>311</v>
      </c>
      <c r="H30" s="87">
        <v>3229.87</v>
      </c>
      <c r="I30" s="104"/>
      <c r="J30" s="87"/>
      <c r="K30" s="87"/>
      <c r="L30" s="87">
        <f t="shared" si="1"/>
        <v>3229.87</v>
      </c>
      <c r="M30" s="88">
        <f t="shared" si="0"/>
        <v>3229.87</v>
      </c>
      <c r="O30" s="51" t="s">
        <v>323</v>
      </c>
    </row>
    <row r="31" spans="1:15">
      <c r="A31" s="16">
        <f>IF(ISNUMBER(H31),MAX(A$11:A30)+1,"")</f>
        <v>19</v>
      </c>
      <c r="C31" s="51">
        <v>241</v>
      </c>
      <c r="D31" s="51" t="s">
        <v>321</v>
      </c>
      <c r="F31" s="86" t="s">
        <v>312</v>
      </c>
      <c r="H31" s="87">
        <v>-10622.47</v>
      </c>
      <c r="I31" s="104"/>
      <c r="J31" s="87"/>
      <c r="K31" s="87"/>
      <c r="L31" s="87">
        <f t="shared" si="1"/>
        <v>-10622.47</v>
      </c>
      <c r="M31" s="88">
        <f t="shared" si="0"/>
        <v>-10622.47</v>
      </c>
      <c r="O31" s="51" t="s">
        <v>324</v>
      </c>
    </row>
    <row r="32" spans="1:15">
      <c r="A32" s="16">
        <f>IF(ISNUMBER(H32),MAX(A$11:A31)+1,"")</f>
        <v>20</v>
      </c>
      <c r="C32" s="51">
        <v>241</v>
      </c>
      <c r="D32" s="51" t="s">
        <v>321</v>
      </c>
      <c r="F32" s="86" t="s">
        <v>313</v>
      </c>
      <c r="H32" s="87">
        <v>2673.74</v>
      </c>
      <c r="I32" s="104"/>
      <c r="J32" s="87"/>
      <c r="K32" s="87"/>
      <c r="L32" s="87">
        <f t="shared" si="1"/>
        <v>2673.74</v>
      </c>
      <c r="M32" s="88">
        <f t="shared" si="0"/>
        <v>2673.74</v>
      </c>
      <c r="O32" s="51" t="s">
        <v>324</v>
      </c>
    </row>
    <row r="33" spans="1:15">
      <c r="A33" s="16">
        <f>IF(ISNUMBER(H33),MAX(A$11:A32)+1,"")</f>
        <v>21</v>
      </c>
      <c r="C33" s="51">
        <v>241</v>
      </c>
      <c r="D33" s="51" t="s">
        <v>321</v>
      </c>
      <c r="F33" s="86" t="s">
        <v>314</v>
      </c>
      <c r="H33" s="87">
        <v>49814.34</v>
      </c>
      <c r="I33" s="104"/>
      <c r="J33" s="87">
        <f>H33</f>
        <v>49814.34</v>
      </c>
      <c r="K33" s="87"/>
      <c r="L33" s="87"/>
      <c r="M33" s="88">
        <f t="shared" si="0"/>
        <v>49814.34</v>
      </c>
    </row>
    <row r="34" spans="1:15">
      <c r="A34" s="16">
        <f>IF(ISNUMBER(H34),MAX(A$11:A33)+1,"")</f>
        <v>22</v>
      </c>
      <c r="C34" s="51">
        <v>241</v>
      </c>
      <c r="D34" s="51" t="s">
        <v>321</v>
      </c>
      <c r="F34" s="86" t="s">
        <v>315</v>
      </c>
      <c r="H34" s="87">
        <v>17926.12</v>
      </c>
      <c r="I34" s="104"/>
      <c r="J34" s="87">
        <f>H34</f>
        <v>17926.12</v>
      </c>
      <c r="K34" s="87"/>
      <c r="L34" s="87"/>
      <c r="M34" s="88">
        <f t="shared" si="0"/>
        <v>17926.12</v>
      </c>
    </row>
    <row r="35" spans="1:15">
      <c r="A35" s="16">
        <f>IF(ISNUMBER(H35),MAX(A$11:A34)+1,"")</f>
        <v>23</v>
      </c>
      <c r="C35" s="51">
        <v>236</v>
      </c>
      <c r="D35" s="51" t="s">
        <v>320</v>
      </c>
      <c r="F35" s="86" t="s">
        <v>316</v>
      </c>
      <c r="H35" s="87">
        <v>1599.64</v>
      </c>
      <c r="I35" s="104"/>
      <c r="J35" s="87">
        <f>H35</f>
        <v>1599.64</v>
      </c>
      <c r="K35" s="87"/>
      <c r="L35" s="87"/>
      <c r="M35" s="88">
        <f t="shared" si="0"/>
        <v>1599.64</v>
      </c>
    </row>
    <row r="36" spans="1:15">
      <c r="A36" s="16">
        <f>IF(ISNUMBER(H36),MAX(A$11:A35)+1,"")</f>
        <v>24</v>
      </c>
      <c r="C36" s="51">
        <v>236</v>
      </c>
      <c r="D36" s="51" t="s">
        <v>320</v>
      </c>
      <c r="F36" s="86" t="s">
        <v>317</v>
      </c>
      <c r="H36" s="87">
        <v>1945089.56</v>
      </c>
      <c r="I36" s="104"/>
      <c r="J36" s="87"/>
      <c r="K36" s="87"/>
      <c r="L36" s="87">
        <f>H36</f>
        <v>1945089.56</v>
      </c>
      <c r="M36" s="88">
        <f t="shared" si="0"/>
        <v>1945089.56</v>
      </c>
      <c r="O36" s="51" t="s">
        <v>323</v>
      </c>
    </row>
    <row r="37" spans="1:15">
      <c r="A37" s="16">
        <f>IF(ISNUMBER(H37),MAX(A$11:A36)+1,"")</f>
        <v>25</v>
      </c>
      <c r="C37" s="51">
        <v>236</v>
      </c>
      <c r="D37" s="51" t="s">
        <v>320</v>
      </c>
      <c r="F37" s="86" t="s">
        <v>318</v>
      </c>
      <c r="H37" s="87">
        <v>9302.2000000000007</v>
      </c>
      <c r="I37" s="104"/>
      <c r="J37" s="87">
        <f>H37</f>
        <v>9302.2000000000007</v>
      </c>
      <c r="K37" s="87"/>
      <c r="L37" s="87"/>
      <c r="M37" s="88">
        <f t="shared" si="0"/>
        <v>9302.2000000000007</v>
      </c>
    </row>
    <row r="38" spans="1:15">
      <c r="A38" s="16">
        <f>IF(ISNUMBER(H38),MAX(A$11:A37)+1,"")</f>
        <v>26</v>
      </c>
      <c r="D38" s="60" t="s">
        <v>322</v>
      </c>
      <c r="F38" s="51" t="str">
        <f>"Sum of Lines 1-"&amp;A37</f>
        <v>Sum of Lines 1-25</v>
      </c>
      <c r="H38" s="59">
        <f>SUM(H13:H37)</f>
        <v>7025703.0200000023</v>
      </c>
      <c r="J38" s="59">
        <f>SUM(J13:J37)</f>
        <v>990419.28999999992</v>
      </c>
      <c r="K38" s="59">
        <f>SUM(K13:K37)</f>
        <v>0</v>
      </c>
      <c r="L38" s="59">
        <f>SUM(L13:L37)</f>
        <v>6035283.7300000014</v>
      </c>
      <c r="M38" s="59">
        <f>SUM(M13:M37)</f>
        <v>7025703.0200000023</v>
      </c>
    </row>
    <row r="39" spans="1:15">
      <c r="H39" s="58"/>
      <c r="J39" s="58"/>
      <c r="K39" s="58"/>
      <c r="L39" s="58"/>
      <c r="M39" s="58"/>
    </row>
    <row r="40" spans="1:15">
      <c r="A40" s="9" t="s">
        <v>112</v>
      </c>
      <c r="B40" s="4"/>
      <c r="C40" s="2"/>
      <c r="H40" s="58"/>
      <c r="J40" s="58"/>
      <c r="K40" s="58"/>
      <c r="L40" s="58"/>
      <c r="M40" s="58"/>
    </row>
    <row r="41" spans="1:15">
      <c r="A41" s="9" t="s">
        <v>113</v>
      </c>
      <c r="B41" s="4"/>
      <c r="C41" s="2" t="s">
        <v>602</v>
      </c>
      <c r="D41" s="104" t="s">
        <v>601</v>
      </c>
      <c r="H41" s="58"/>
      <c r="J41" s="58"/>
      <c r="K41" s="58"/>
      <c r="L41" s="58"/>
      <c r="M41" s="58"/>
    </row>
    <row r="42" spans="1:15">
      <c r="A42" s="9"/>
      <c r="B42" s="4"/>
      <c r="C42" s="2"/>
      <c r="H42" s="58"/>
      <c r="J42" s="58"/>
      <c r="K42" s="58"/>
      <c r="L42" s="58"/>
      <c r="M42" s="58"/>
    </row>
    <row r="43" spans="1:15">
      <c r="H43" s="58"/>
      <c r="J43" s="58"/>
      <c r="K43" s="58"/>
      <c r="L43" s="58"/>
      <c r="M43" s="58"/>
    </row>
    <row r="44" spans="1:15">
      <c r="H44" s="58"/>
      <c r="J44" s="58"/>
      <c r="K44" s="58"/>
      <c r="L44" s="58"/>
      <c r="M44" s="58"/>
    </row>
    <row r="45" spans="1:15">
      <c r="H45" s="58"/>
      <c r="J45" s="58"/>
      <c r="K45" s="58"/>
      <c r="L45" s="58"/>
      <c r="M45" s="58"/>
    </row>
    <row r="46" spans="1:15">
      <c r="H46" s="58"/>
      <c r="J46" s="58"/>
      <c r="K46" s="58"/>
      <c r="L46" s="58"/>
      <c r="M46" s="58"/>
    </row>
    <row r="47" spans="1:15">
      <c r="H47" s="58"/>
      <c r="J47" s="58"/>
      <c r="K47" s="58"/>
      <c r="L47" s="58"/>
      <c r="M47" s="58"/>
    </row>
    <row r="48" spans="1:15">
      <c r="H48" s="58"/>
      <c r="J48" s="58"/>
      <c r="K48" s="58"/>
      <c r="L48" s="58"/>
      <c r="M48" s="58"/>
    </row>
    <row r="49" spans="8:13">
      <c r="H49" s="58"/>
      <c r="J49" s="58"/>
      <c r="K49" s="58"/>
      <c r="L49" s="58"/>
      <c r="M49" s="58"/>
    </row>
    <row r="50" spans="8:13">
      <c r="H50" s="58"/>
      <c r="J50" s="58"/>
      <c r="K50" s="58"/>
      <c r="L50" s="58"/>
      <c r="M50" s="58"/>
    </row>
    <row r="51" spans="8:13">
      <c r="H51" s="58"/>
      <c r="J51" s="58"/>
      <c r="K51" s="58"/>
      <c r="L51" s="58"/>
      <c r="M51" s="58"/>
    </row>
    <row r="52" spans="8:13">
      <c r="H52" s="58"/>
      <c r="J52" s="58"/>
      <c r="K52" s="58"/>
      <c r="L52" s="58"/>
      <c r="M52" s="58"/>
    </row>
    <row r="53" spans="8:13">
      <c r="H53" s="58"/>
      <c r="J53" s="58"/>
      <c r="K53" s="58"/>
      <c r="L53" s="58"/>
      <c r="M53" s="58"/>
    </row>
    <row r="54" spans="8:13">
      <c r="H54" s="58"/>
      <c r="J54" s="58"/>
      <c r="K54" s="58"/>
      <c r="L54" s="58"/>
      <c r="M54" s="58"/>
    </row>
    <row r="55" spans="8:13">
      <c r="H55" s="58"/>
      <c r="J55" s="58"/>
      <c r="K55" s="58"/>
      <c r="L55" s="58"/>
      <c r="M55" s="58"/>
    </row>
    <row r="56" spans="8:13">
      <c r="H56" s="58"/>
      <c r="J56" s="58"/>
      <c r="K56" s="58"/>
      <c r="L56" s="58"/>
      <c r="M56" s="58"/>
    </row>
    <row r="57" spans="8:13">
      <c r="H57" s="58"/>
      <c r="J57" s="58"/>
      <c r="K57" s="58"/>
      <c r="L57" s="58"/>
      <c r="M57" s="58"/>
    </row>
    <row r="58" spans="8:13">
      <c r="H58" s="58"/>
      <c r="J58" s="58"/>
      <c r="K58" s="58"/>
      <c r="L58" s="58"/>
      <c r="M58" s="58"/>
    </row>
    <row r="59" spans="8:13">
      <c r="H59" s="58"/>
      <c r="J59" s="58"/>
      <c r="K59" s="58"/>
      <c r="L59" s="58"/>
      <c r="M59" s="58"/>
    </row>
    <row r="60" spans="8:13">
      <c r="H60" s="58"/>
      <c r="J60" s="58"/>
      <c r="K60" s="58"/>
      <c r="L60" s="58"/>
      <c r="M60" s="58"/>
    </row>
    <row r="61" spans="8:13">
      <c r="H61" s="58"/>
      <c r="J61" s="58"/>
      <c r="K61" s="58"/>
      <c r="L61" s="58"/>
      <c r="M61" s="58"/>
    </row>
    <row r="62" spans="8:13">
      <c r="H62" s="58"/>
      <c r="J62" s="58"/>
      <c r="K62" s="58"/>
      <c r="L62" s="58"/>
      <c r="M62" s="58"/>
    </row>
    <row r="63" spans="8:13">
      <c r="H63" s="58"/>
      <c r="J63" s="58"/>
      <c r="K63" s="58"/>
      <c r="L63" s="58"/>
      <c r="M63" s="58"/>
    </row>
    <row r="64" spans="8:13">
      <c r="H64" s="58"/>
      <c r="J64" s="58"/>
      <c r="K64" s="58"/>
      <c r="L64" s="58"/>
      <c r="M64" s="58"/>
    </row>
    <row r="65" spans="8:13">
      <c r="H65" s="58"/>
      <c r="J65" s="58"/>
      <c r="K65" s="58"/>
      <c r="L65" s="58"/>
      <c r="M65" s="58"/>
    </row>
    <row r="66" spans="8:13">
      <c r="H66" s="58"/>
      <c r="J66" s="58"/>
      <c r="K66" s="58"/>
      <c r="L66" s="58"/>
      <c r="M66" s="58"/>
    </row>
    <row r="67" spans="8:13">
      <c r="H67" s="58"/>
      <c r="J67" s="58"/>
      <c r="K67" s="58"/>
      <c r="L67" s="58"/>
      <c r="M67" s="58"/>
    </row>
    <row r="68" spans="8:13">
      <c r="H68" s="58"/>
      <c r="J68" s="58"/>
      <c r="K68" s="58"/>
      <c r="L68" s="58"/>
      <c r="M68" s="58"/>
    </row>
    <row r="69" spans="8:13">
      <c r="H69" s="58"/>
      <c r="J69" s="58"/>
      <c r="K69" s="58"/>
      <c r="L69" s="58"/>
      <c r="M69" s="58"/>
    </row>
    <row r="70" spans="8:13">
      <c r="H70" s="58"/>
      <c r="J70" s="58"/>
      <c r="K70" s="58"/>
      <c r="L70" s="58"/>
      <c r="M70" s="58"/>
    </row>
    <row r="71" spans="8:13">
      <c r="H71" s="58"/>
      <c r="J71" s="58"/>
      <c r="K71" s="58"/>
      <c r="L71" s="58"/>
      <c r="M71" s="58"/>
    </row>
    <row r="72" spans="8:13">
      <c r="H72" s="58"/>
      <c r="J72" s="58"/>
      <c r="K72" s="58"/>
      <c r="L72" s="58"/>
      <c r="M72" s="58"/>
    </row>
    <row r="73" spans="8:13">
      <c r="H73" s="58"/>
      <c r="J73" s="58"/>
      <c r="K73" s="58"/>
      <c r="L73" s="58"/>
      <c r="M73" s="58"/>
    </row>
    <row r="74" spans="8:13">
      <c r="H74" s="58"/>
      <c r="J74" s="58"/>
      <c r="K74" s="58"/>
      <c r="L74" s="58"/>
      <c r="M74" s="58"/>
    </row>
    <row r="75" spans="8:13">
      <c r="H75" s="58"/>
      <c r="J75" s="58"/>
      <c r="K75" s="58"/>
      <c r="L75" s="58"/>
      <c r="M75" s="58"/>
    </row>
    <row r="76" spans="8:13">
      <c r="H76" s="58"/>
      <c r="J76" s="58"/>
      <c r="K76" s="58"/>
      <c r="L76" s="58"/>
      <c r="M76" s="58"/>
    </row>
    <row r="77" spans="8:13">
      <c r="H77" s="58"/>
      <c r="J77" s="58"/>
      <c r="K77" s="58"/>
      <c r="L77" s="58"/>
      <c r="M77" s="58"/>
    </row>
    <row r="78" spans="8:13">
      <c r="H78" s="58"/>
      <c r="J78" s="58"/>
      <c r="K78" s="58"/>
      <c r="L78" s="58"/>
      <c r="M78" s="58"/>
    </row>
    <row r="79" spans="8:13">
      <c r="H79" s="58"/>
      <c r="J79" s="58"/>
      <c r="K79" s="58"/>
      <c r="L79" s="58"/>
      <c r="M79" s="58"/>
    </row>
    <row r="80" spans="8:13">
      <c r="H80" s="58"/>
      <c r="J80" s="58"/>
      <c r="K80" s="58"/>
      <c r="L80" s="58"/>
      <c r="M80" s="58"/>
    </row>
    <row r="81" spans="8:13">
      <c r="H81" s="58"/>
      <c r="J81" s="58"/>
      <c r="K81" s="58"/>
      <c r="L81" s="58"/>
      <c r="M81" s="58"/>
    </row>
    <row r="82" spans="8:13">
      <c r="H82" s="58"/>
      <c r="J82" s="58"/>
      <c r="K82" s="58"/>
      <c r="L82" s="58"/>
      <c r="M82" s="58"/>
    </row>
  </sheetData>
  <printOptions horizontalCentered="1"/>
  <pageMargins left="0.5" right="0.5" top="0.5" bottom="0.5" header="0.25" footer="0.25"/>
  <pageSetup scale="59" orientation="landscape" horizontalDpi="1200" verticalDpi="1200" r:id="rId1"/>
  <headerFooter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topLeftCell="A4" zoomScale="70" zoomScaleNormal="70" workbookViewId="0">
      <selection activeCell="K18" sqref="K18"/>
    </sheetView>
  </sheetViews>
  <sheetFormatPr defaultColWidth="9.08984375" defaultRowHeight="14"/>
  <cols>
    <col min="1" max="1" width="5.6328125" style="51" customWidth="1"/>
    <col min="2" max="2" width="1.6328125" style="51" customWidth="1"/>
    <col min="3" max="3" width="9.08984375" style="51"/>
    <col min="4" max="4" width="34.453125" style="51" bestFit="1" customWidth="1"/>
    <col min="5" max="5" width="1.6328125" style="51" customWidth="1"/>
    <col min="6" max="6" width="53.36328125" style="51" bestFit="1" customWidth="1"/>
    <col min="7" max="7" width="1.6328125" style="52" customWidth="1"/>
    <col min="8" max="8" width="13.90625" style="51" bestFit="1" customWidth="1"/>
    <col min="9" max="9" width="1.6328125" style="51" customWidth="1"/>
    <col min="10" max="10" width="13.90625" style="51" bestFit="1" customWidth="1"/>
    <col min="11" max="15" width="13.90625" style="51" customWidth="1"/>
    <col min="16" max="16" width="1.6328125" style="51" customWidth="1"/>
    <col min="17" max="17" width="41.90625" style="51" bestFit="1" customWidth="1"/>
    <col min="18" max="16384" width="9.08984375" style="51"/>
  </cols>
  <sheetData>
    <row r="1" spans="1:17">
      <c r="A1" s="1" t="s">
        <v>388</v>
      </c>
      <c r="B1" s="1"/>
    </row>
    <row r="2" spans="1:17">
      <c r="A2" s="1" t="str">
        <f>'Appendix B - COS'!$A$2</f>
        <v>Grant County Public Utility District</v>
      </c>
      <c r="B2" s="1"/>
    </row>
    <row r="3" spans="1:17">
      <c r="A3" s="1" t="s">
        <v>26</v>
      </c>
      <c r="B3" s="1"/>
    </row>
    <row r="4" spans="1:17">
      <c r="A4" s="1" t="str">
        <f>'Appendix B - COS'!$A$4</f>
        <v>Fiscal Year Ending December 31, 2017</v>
      </c>
      <c r="B4" s="1"/>
    </row>
    <row r="5" spans="1:17">
      <c r="A5" s="1" t="str">
        <f>'Appendix B - COS'!$A$5</f>
        <v>Draft of June 19, 2019</v>
      </c>
      <c r="B5" s="1"/>
    </row>
    <row r="6" spans="1:17">
      <c r="A6" s="1"/>
      <c r="B6" s="1"/>
    </row>
    <row r="7" spans="1:17">
      <c r="A7" s="4"/>
      <c r="B7" s="4"/>
      <c r="C7" s="53"/>
      <c r="D7" s="53"/>
      <c r="E7" s="53"/>
      <c r="F7" s="53"/>
      <c r="G7" s="54"/>
      <c r="I7" s="53" t="s">
        <v>52</v>
      </c>
      <c r="J7" s="93" t="s">
        <v>49</v>
      </c>
      <c r="K7" s="93"/>
      <c r="L7" s="93"/>
      <c r="M7" s="93"/>
      <c r="N7" s="93"/>
      <c r="O7" s="93"/>
      <c r="P7" s="53"/>
    </row>
    <row r="8" spans="1:17">
      <c r="A8" s="9" t="s">
        <v>43</v>
      </c>
      <c r="B8" s="9"/>
      <c r="C8" s="55" t="s">
        <v>94</v>
      </c>
      <c r="D8" s="55"/>
      <c r="E8" s="55"/>
      <c r="F8" s="55"/>
      <c r="G8" s="56"/>
      <c r="H8" s="55" t="s">
        <v>34</v>
      </c>
      <c r="I8" s="53"/>
      <c r="J8" s="105">
        <v>1</v>
      </c>
      <c r="K8" s="105">
        <v>1</v>
      </c>
      <c r="L8" s="92"/>
      <c r="M8" s="92"/>
      <c r="N8" s="92"/>
      <c r="O8" s="92"/>
      <c r="P8" s="53"/>
    </row>
    <row r="9" spans="1:17" ht="14.5" thickBot="1">
      <c r="A9" s="11" t="s">
        <v>1</v>
      </c>
      <c r="B9" s="12"/>
      <c r="C9" s="57" t="s">
        <v>95</v>
      </c>
      <c r="D9" s="57" t="s">
        <v>53</v>
      </c>
      <c r="E9" s="55"/>
      <c r="F9" s="57" t="s">
        <v>54</v>
      </c>
      <c r="G9" s="56"/>
      <c r="H9" s="57" t="s">
        <v>544</v>
      </c>
      <c r="I9" s="53"/>
      <c r="J9" s="57" t="s">
        <v>31</v>
      </c>
      <c r="K9" s="57" t="s">
        <v>437</v>
      </c>
      <c r="L9" s="57" t="s">
        <v>329</v>
      </c>
      <c r="M9" s="57" t="s">
        <v>330</v>
      </c>
      <c r="N9" s="57" t="s">
        <v>331</v>
      </c>
      <c r="O9" s="57" t="s">
        <v>34</v>
      </c>
      <c r="P9" s="53"/>
      <c r="Q9" s="57" t="s">
        <v>332</v>
      </c>
    </row>
    <row r="10" spans="1:17">
      <c r="A10" s="4"/>
      <c r="B10" s="4"/>
      <c r="C10" s="7" t="s">
        <v>2</v>
      </c>
      <c r="D10" s="7" t="s">
        <v>3</v>
      </c>
      <c r="F10" s="7" t="s">
        <v>4</v>
      </c>
      <c r="G10" s="51"/>
      <c r="H10" s="7" t="s">
        <v>5</v>
      </c>
      <c r="J10" s="7" t="s">
        <v>6</v>
      </c>
      <c r="K10" s="7" t="s">
        <v>7</v>
      </c>
      <c r="L10" s="7" t="s">
        <v>117</v>
      </c>
      <c r="M10" s="7" t="s">
        <v>118</v>
      </c>
      <c r="N10" s="7" t="s">
        <v>334</v>
      </c>
      <c r="O10" s="7" t="s">
        <v>384</v>
      </c>
      <c r="Q10" s="147" t="s">
        <v>385</v>
      </c>
    </row>
    <row r="11" spans="1:17">
      <c r="J11" s="62"/>
      <c r="K11" s="62"/>
      <c r="L11" s="62"/>
      <c r="M11" s="62"/>
      <c r="N11" s="62"/>
      <c r="O11" s="95" t="s">
        <v>608</v>
      </c>
    </row>
    <row r="12" spans="1:17">
      <c r="D12" s="53" t="s">
        <v>402</v>
      </c>
      <c r="H12" s="58"/>
      <c r="J12" s="58"/>
      <c r="K12" s="58"/>
      <c r="L12" s="58"/>
      <c r="M12" s="58"/>
      <c r="N12" s="58"/>
      <c r="O12" s="58"/>
    </row>
    <row r="13" spans="1:17">
      <c r="A13" s="16">
        <f>IF(ISNUMBER(H13),MAX(A$11:A12)+1,"")</f>
        <v>1</v>
      </c>
      <c r="C13" s="51">
        <v>450</v>
      </c>
      <c r="D13" s="51" t="s">
        <v>396</v>
      </c>
      <c r="F13" s="106" t="s">
        <v>391</v>
      </c>
      <c r="H13" s="87">
        <v>1074356.3400000001</v>
      </c>
      <c r="J13" s="87"/>
      <c r="K13" s="87">
        <f>H13</f>
        <v>1074356.3400000001</v>
      </c>
      <c r="L13" s="87"/>
      <c r="M13" s="87"/>
      <c r="N13" s="87"/>
      <c r="O13" s="88">
        <f>SUM(J13:N13)</f>
        <v>1074356.3400000001</v>
      </c>
      <c r="Q13" s="51" t="s">
        <v>400</v>
      </c>
    </row>
    <row r="14" spans="1:17">
      <c r="A14" s="16">
        <f>IF(ISNUMBER(H14),MAX(A$11:A13)+1,"")</f>
        <v>2</v>
      </c>
      <c r="C14" s="51">
        <v>451</v>
      </c>
      <c r="D14" s="51" t="s">
        <v>397</v>
      </c>
      <c r="F14" s="106" t="s">
        <v>392</v>
      </c>
      <c r="H14" s="87">
        <v>554856.01</v>
      </c>
      <c r="J14" s="87"/>
      <c r="K14" s="87">
        <f t="shared" ref="K14:K17" si="0">H14</f>
        <v>554856.01</v>
      </c>
      <c r="L14" s="87"/>
      <c r="M14" s="87"/>
      <c r="N14" s="87"/>
      <c r="O14" s="88">
        <f>SUM(J14:N14)</f>
        <v>554856.01</v>
      </c>
      <c r="Q14" s="51" t="s">
        <v>400</v>
      </c>
    </row>
    <row r="15" spans="1:17">
      <c r="A15" s="16">
        <f>IF(ISNUMBER(H15),MAX(A$11:A14)+1,"")</f>
        <v>3</v>
      </c>
      <c r="C15" s="51">
        <v>454</v>
      </c>
      <c r="D15" s="51" t="s">
        <v>398</v>
      </c>
      <c r="F15" s="106" t="s">
        <v>393</v>
      </c>
      <c r="H15" s="87">
        <v>148260</v>
      </c>
      <c r="J15" s="87"/>
      <c r="K15" s="87">
        <f t="shared" si="0"/>
        <v>148260</v>
      </c>
      <c r="L15" s="87"/>
      <c r="M15" s="87"/>
      <c r="N15" s="87"/>
      <c r="O15" s="88">
        <f>SUM(J15:N15)</f>
        <v>148260</v>
      </c>
      <c r="Q15" s="51" t="s">
        <v>400</v>
      </c>
    </row>
    <row r="16" spans="1:17">
      <c r="A16" s="16">
        <f>IF(ISNUMBER(H16),MAX(A$11:A15)+1,"")</f>
        <v>4</v>
      </c>
      <c r="C16" s="51">
        <v>454</v>
      </c>
      <c r="D16" s="51" t="s">
        <v>398</v>
      </c>
      <c r="F16" s="106" t="s">
        <v>394</v>
      </c>
      <c r="H16" s="87">
        <v>246651.32</v>
      </c>
      <c r="J16" s="87"/>
      <c r="K16" s="87">
        <f t="shared" si="0"/>
        <v>246651.32</v>
      </c>
      <c r="L16" s="87"/>
      <c r="M16" s="87"/>
      <c r="N16" s="87"/>
      <c r="O16" s="88">
        <f>SUM(J16:N16)</f>
        <v>246651.32</v>
      </c>
      <c r="Q16" s="51" t="s">
        <v>401</v>
      </c>
    </row>
    <row r="17" spans="1:17">
      <c r="A17" s="16">
        <f>IF(ISNUMBER(H17),MAX(A$11:A16)+1,"")</f>
        <v>5</v>
      </c>
      <c r="C17" s="51">
        <v>454</v>
      </c>
      <c r="D17" s="51" t="s">
        <v>398</v>
      </c>
      <c r="F17" s="106" t="s">
        <v>395</v>
      </c>
      <c r="H17" s="87">
        <v>10341.549999999999</v>
      </c>
      <c r="J17" s="87"/>
      <c r="K17" s="87">
        <f t="shared" si="0"/>
        <v>10341.549999999999</v>
      </c>
      <c r="L17" s="87"/>
      <c r="M17" s="87"/>
      <c r="N17" s="87"/>
      <c r="O17" s="88">
        <f>SUM(J17:N17)</f>
        <v>10341.549999999999</v>
      </c>
      <c r="Q17" s="51" t="s">
        <v>400</v>
      </c>
    </row>
    <row r="18" spans="1:17">
      <c r="A18" s="16">
        <f>IF(ISNUMBER(H18),MAX(A$11:A17)+1,"")</f>
        <v>6</v>
      </c>
      <c r="D18" s="60" t="s">
        <v>399</v>
      </c>
      <c r="H18" s="59">
        <f>SUM(H13:H17)</f>
        <v>2034465.2200000002</v>
      </c>
      <c r="J18" s="59">
        <f t="shared" ref="J18:O18" si="1">SUM(J13:J17)</f>
        <v>0</v>
      </c>
      <c r="K18" s="59">
        <f t="shared" si="1"/>
        <v>2034465.2200000002</v>
      </c>
      <c r="L18" s="59">
        <f t="shared" si="1"/>
        <v>0</v>
      </c>
      <c r="M18" s="59">
        <f t="shared" si="1"/>
        <v>0</v>
      </c>
      <c r="N18" s="59">
        <f t="shared" si="1"/>
        <v>0</v>
      </c>
      <c r="O18" s="59">
        <f t="shared" si="1"/>
        <v>2034465.2200000002</v>
      </c>
    </row>
    <row r="19" spans="1:17">
      <c r="A19" s="16" t="str">
        <f>IF(ISNUMBER(H19),MAX(A$11:A18)+1,"")</f>
        <v/>
      </c>
      <c r="D19" s="60"/>
      <c r="H19" s="88"/>
      <c r="J19" s="88"/>
      <c r="K19" s="88"/>
      <c r="L19" s="88"/>
      <c r="M19" s="88"/>
      <c r="N19" s="88"/>
      <c r="O19" s="88"/>
    </row>
    <row r="20" spans="1:17">
      <c r="A20" s="16" t="str">
        <f>IF(ISNUMBER(H20),MAX(A$11:A19)+1,"")</f>
        <v/>
      </c>
      <c r="D20" s="53" t="s">
        <v>404</v>
      </c>
      <c r="H20" s="88"/>
      <c r="J20" s="88"/>
      <c r="K20" s="88"/>
      <c r="L20" s="88"/>
      <c r="M20" s="88"/>
      <c r="N20" s="88"/>
      <c r="O20" s="88"/>
    </row>
    <row r="21" spans="1:17">
      <c r="A21" s="16">
        <f>IF(ISNUMBER(H21),MAX(A$11:A20)+1,"")</f>
        <v>7</v>
      </c>
      <c r="C21" s="51">
        <v>456</v>
      </c>
      <c r="D21" s="51" t="s">
        <v>403</v>
      </c>
      <c r="F21" s="107" t="s">
        <v>405</v>
      </c>
      <c r="H21" s="87">
        <v>140952</v>
      </c>
      <c r="J21" s="87">
        <f>H21</f>
        <v>140952</v>
      </c>
      <c r="K21" s="87"/>
      <c r="L21" s="87"/>
      <c r="M21" s="87"/>
      <c r="N21" s="87"/>
      <c r="O21" s="88">
        <f>SUM(J21:N21)</f>
        <v>140952</v>
      </c>
      <c r="Q21" s="51" t="s">
        <v>408</v>
      </c>
    </row>
    <row r="22" spans="1:17">
      <c r="A22" s="16">
        <f>IF(ISNUMBER(H22),MAX(A$11:A21)+1,"")</f>
        <v>8</v>
      </c>
      <c r="C22" s="51">
        <v>456</v>
      </c>
      <c r="D22" s="51" t="s">
        <v>403</v>
      </c>
      <c r="F22" s="107" t="s">
        <v>406</v>
      </c>
      <c r="H22" s="87">
        <v>142608</v>
      </c>
      <c r="J22" s="87">
        <f>H22</f>
        <v>142608</v>
      </c>
      <c r="K22" s="87"/>
      <c r="L22" s="87"/>
      <c r="M22" s="87"/>
      <c r="N22" s="87"/>
      <c r="O22" s="88">
        <f t="shared" ref="O22:O24" si="2">SUM(J22:N22)</f>
        <v>142608</v>
      </c>
      <c r="Q22" s="51" t="s">
        <v>408</v>
      </c>
    </row>
    <row r="23" spans="1:17">
      <c r="A23" s="16">
        <f>IF(ISNUMBER(H23),MAX(A$11:A22)+1,"")</f>
        <v>9</v>
      </c>
      <c r="C23" s="51">
        <v>456</v>
      </c>
      <c r="D23" s="51" t="s">
        <v>403</v>
      </c>
      <c r="F23" s="107" t="s">
        <v>609</v>
      </c>
      <c r="H23" s="87">
        <v>53568</v>
      </c>
      <c r="J23" s="87">
        <v>53568</v>
      </c>
      <c r="K23" s="87"/>
      <c r="L23" s="87"/>
      <c r="M23" s="87"/>
      <c r="N23" s="87"/>
      <c r="O23" s="88">
        <f t="shared" si="2"/>
        <v>53568</v>
      </c>
      <c r="Q23" s="51" t="s">
        <v>612</v>
      </c>
    </row>
    <row r="24" spans="1:17">
      <c r="A24" s="16">
        <f>IF(ISNUMBER(H24),MAX(A$11:A23)+1,"")</f>
        <v>10</v>
      </c>
      <c r="C24" s="51">
        <v>456</v>
      </c>
      <c r="D24" s="51" t="s">
        <v>403</v>
      </c>
      <c r="F24" s="107" t="s">
        <v>543</v>
      </c>
      <c r="H24" s="87">
        <v>53568</v>
      </c>
      <c r="J24" s="87">
        <v>53568</v>
      </c>
      <c r="K24" s="87"/>
      <c r="L24" s="87"/>
      <c r="M24" s="87"/>
      <c r="N24" s="87"/>
      <c r="O24" s="88">
        <f t="shared" si="2"/>
        <v>53568</v>
      </c>
      <c r="Q24" s="51" t="s">
        <v>612</v>
      </c>
    </row>
    <row r="25" spans="1:17">
      <c r="A25" s="16">
        <f>IF(ISNUMBER(H25),MAX(A$11:A22)+1,"")</f>
        <v>9</v>
      </c>
      <c r="D25" s="60" t="s">
        <v>407</v>
      </c>
      <c r="H25" s="59">
        <f>SUM(H21:H24)</f>
        <v>390696</v>
      </c>
      <c r="J25" s="59">
        <f t="shared" ref="J25:O25" si="3">SUM(J21:J24)</f>
        <v>390696</v>
      </c>
      <c r="K25" s="59">
        <f t="shared" si="3"/>
        <v>0</v>
      </c>
      <c r="L25" s="59">
        <f t="shared" si="3"/>
        <v>0</v>
      </c>
      <c r="M25" s="59">
        <f t="shared" si="3"/>
        <v>0</v>
      </c>
      <c r="N25" s="59">
        <f t="shared" si="3"/>
        <v>0</v>
      </c>
      <c r="O25" s="59">
        <f t="shared" si="3"/>
        <v>390696</v>
      </c>
    </row>
    <row r="26" spans="1:17">
      <c r="A26" s="16" t="str">
        <f>IF(ISNUMBER(H26),MAX(A$11:A25)+1,"")</f>
        <v/>
      </c>
      <c r="D26" s="60"/>
      <c r="H26" s="88"/>
      <c r="J26" s="88"/>
      <c r="K26" s="88"/>
      <c r="L26" s="88"/>
      <c r="M26" s="88"/>
      <c r="N26" s="88"/>
      <c r="O26" s="88"/>
    </row>
    <row r="27" spans="1:17">
      <c r="H27" s="58"/>
      <c r="J27" s="58"/>
      <c r="K27" s="58"/>
      <c r="L27" s="58"/>
      <c r="M27" s="58"/>
      <c r="N27" s="58"/>
      <c r="O27" s="58"/>
    </row>
    <row r="28" spans="1:17">
      <c r="A28" s="9" t="s">
        <v>112</v>
      </c>
      <c r="B28" s="4"/>
      <c r="C28" s="2"/>
      <c r="H28" s="58"/>
      <c r="J28" s="58"/>
      <c r="K28" s="58"/>
      <c r="L28" s="58"/>
      <c r="M28" s="58"/>
      <c r="N28" s="58"/>
      <c r="O28" s="58"/>
    </row>
    <row r="29" spans="1:17">
      <c r="A29" s="9" t="s">
        <v>113</v>
      </c>
      <c r="B29" s="4"/>
      <c r="C29" s="65" t="s">
        <v>119</v>
      </c>
      <c r="D29" s="104"/>
      <c r="E29" s="104"/>
      <c r="F29" s="104"/>
      <c r="H29" s="58"/>
      <c r="J29" s="58"/>
      <c r="K29" s="58"/>
      <c r="L29" s="58"/>
      <c r="M29" s="58"/>
      <c r="N29" s="58"/>
      <c r="O29" s="58"/>
    </row>
    <row r="30" spans="1:17">
      <c r="A30" s="9" t="s">
        <v>115</v>
      </c>
      <c r="B30" s="4"/>
      <c r="C30" s="65" t="s">
        <v>610</v>
      </c>
      <c r="D30" s="104"/>
      <c r="E30" s="104"/>
      <c r="F30" s="104"/>
      <c r="H30" s="58"/>
      <c r="J30" s="58"/>
      <c r="K30" s="58"/>
      <c r="L30" s="58"/>
      <c r="M30" s="58"/>
      <c r="N30" s="58"/>
      <c r="O30" s="58"/>
    </row>
    <row r="31" spans="1:17">
      <c r="G31" s="51"/>
      <c r="H31" s="58"/>
      <c r="J31" s="58"/>
      <c r="K31" s="58"/>
      <c r="L31" s="58"/>
      <c r="M31" s="58"/>
      <c r="N31" s="58"/>
      <c r="O31" s="58"/>
    </row>
    <row r="32" spans="1:17">
      <c r="G32" s="51"/>
      <c r="H32" s="58"/>
      <c r="J32" s="58"/>
      <c r="K32" s="58"/>
      <c r="L32" s="58"/>
      <c r="M32" s="58"/>
      <c r="N32" s="58"/>
      <c r="O32" s="58"/>
    </row>
    <row r="33" spans="7:15">
      <c r="G33" s="51"/>
      <c r="H33" s="58"/>
      <c r="J33" s="58"/>
      <c r="K33" s="58"/>
      <c r="L33" s="58"/>
      <c r="M33" s="58"/>
      <c r="N33" s="58"/>
      <c r="O33" s="58"/>
    </row>
    <row r="34" spans="7:15">
      <c r="H34" s="58"/>
      <c r="J34" s="58"/>
      <c r="K34" s="58"/>
      <c r="L34" s="58"/>
      <c r="M34" s="58"/>
      <c r="N34" s="58"/>
      <c r="O34" s="58"/>
    </row>
    <row r="35" spans="7:15">
      <c r="H35" s="58"/>
      <c r="J35" s="58"/>
      <c r="K35" s="58"/>
      <c r="L35" s="58"/>
      <c r="M35" s="58"/>
      <c r="N35" s="58"/>
      <c r="O35" s="58"/>
    </row>
    <row r="36" spans="7:15">
      <c r="H36" s="58"/>
      <c r="J36" s="58"/>
      <c r="K36" s="58"/>
      <c r="L36" s="58"/>
      <c r="M36" s="58"/>
      <c r="N36" s="58"/>
      <c r="O36" s="58"/>
    </row>
    <row r="37" spans="7:15">
      <c r="H37" s="58"/>
      <c r="J37" s="58"/>
      <c r="K37" s="58"/>
      <c r="L37" s="58"/>
      <c r="M37" s="58"/>
      <c r="N37" s="58"/>
      <c r="O37" s="58"/>
    </row>
    <row r="38" spans="7:15">
      <c r="H38" s="58"/>
      <c r="J38" s="58"/>
      <c r="K38" s="58"/>
      <c r="L38" s="58"/>
      <c r="M38" s="58"/>
      <c r="N38" s="58"/>
      <c r="O38" s="58"/>
    </row>
    <row r="39" spans="7:15">
      <c r="H39" s="58"/>
      <c r="J39" s="58"/>
      <c r="K39" s="58"/>
      <c r="L39" s="58"/>
      <c r="M39" s="58"/>
      <c r="N39" s="58"/>
      <c r="O39" s="58"/>
    </row>
    <row r="40" spans="7:15">
      <c r="H40" s="58"/>
      <c r="J40" s="58"/>
      <c r="K40" s="58"/>
      <c r="L40" s="58"/>
      <c r="M40" s="58"/>
      <c r="N40" s="58"/>
      <c r="O40" s="58"/>
    </row>
    <row r="41" spans="7:15">
      <c r="H41" s="58"/>
      <c r="J41" s="58"/>
      <c r="K41" s="58"/>
      <c r="L41" s="58"/>
      <c r="M41" s="58"/>
      <c r="N41" s="58"/>
      <c r="O41" s="58"/>
    </row>
    <row r="42" spans="7:15">
      <c r="H42" s="58"/>
      <c r="J42" s="58"/>
      <c r="K42" s="58"/>
      <c r="L42" s="58"/>
      <c r="M42" s="58"/>
      <c r="N42" s="58"/>
      <c r="O42" s="58"/>
    </row>
    <row r="43" spans="7:15">
      <c r="H43" s="58"/>
      <c r="J43" s="58"/>
      <c r="K43" s="58"/>
      <c r="L43" s="58"/>
      <c r="M43" s="58"/>
      <c r="N43" s="58"/>
      <c r="O43" s="58"/>
    </row>
    <row r="44" spans="7:15">
      <c r="H44" s="58"/>
      <c r="J44" s="58"/>
      <c r="K44" s="58"/>
      <c r="L44" s="58"/>
      <c r="M44" s="58"/>
      <c r="N44" s="58"/>
      <c r="O44" s="58"/>
    </row>
    <row r="45" spans="7:15">
      <c r="H45" s="58"/>
      <c r="J45" s="58"/>
      <c r="K45" s="58"/>
      <c r="L45" s="58"/>
      <c r="M45" s="58"/>
      <c r="N45" s="58"/>
      <c r="O45" s="58"/>
    </row>
    <row r="46" spans="7:15">
      <c r="H46" s="58"/>
      <c r="J46" s="58"/>
      <c r="K46" s="58"/>
      <c r="L46" s="58"/>
      <c r="M46" s="58"/>
      <c r="N46" s="58"/>
      <c r="O46" s="58"/>
    </row>
    <row r="47" spans="7:15">
      <c r="H47" s="58"/>
      <c r="J47" s="58"/>
      <c r="K47" s="58"/>
      <c r="L47" s="58"/>
      <c r="M47" s="58"/>
      <c r="N47" s="58"/>
      <c r="O47" s="58"/>
    </row>
    <row r="48" spans="7:15">
      <c r="H48" s="58"/>
      <c r="J48" s="58"/>
      <c r="K48" s="58"/>
      <c r="L48" s="58"/>
      <c r="M48" s="58"/>
      <c r="N48" s="58"/>
      <c r="O48" s="58"/>
    </row>
    <row r="49" spans="8:15">
      <c r="H49" s="58"/>
      <c r="J49" s="58"/>
      <c r="K49" s="58"/>
      <c r="L49" s="58"/>
      <c r="M49" s="58"/>
      <c r="N49" s="58"/>
      <c r="O49" s="58"/>
    </row>
    <row r="50" spans="8:15">
      <c r="H50" s="58"/>
      <c r="J50" s="58"/>
      <c r="K50" s="58"/>
      <c r="L50" s="58"/>
      <c r="M50" s="58"/>
      <c r="N50" s="58"/>
      <c r="O50" s="58"/>
    </row>
    <row r="51" spans="8:15">
      <c r="H51" s="58"/>
      <c r="J51" s="58"/>
      <c r="K51" s="58"/>
      <c r="L51" s="58"/>
      <c r="M51" s="58"/>
      <c r="N51" s="58"/>
      <c r="O51" s="58"/>
    </row>
    <row r="52" spans="8:15">
      <c r="H52" s="58"/>
      <c r="J52" s="58"/>
      <c r="K52" s="58"/>
      <c r="L52" s="58"/>
      <c r="M52" s="58"/>
      <c r="N52" s="58"/>
      <c r="O52" s="58"/>
    </row>
    <row r="53" spans="8:15">
      <c r="H53" s="58"/>
      <c r="J53" s="58"/>
      <c r="K53" s="58"/>
      <c r="L53" s="58"/>
      <c r="M53" s="58"/>
      <c r="N53" s="58"/>
      <c r="O53" s="58"/>
    </row>
    <row r="54" spans="8:15">
      <c r="H54" s="58"/>
      <c r="J54" s="58"/>
      <c r="K54" s="58"/>
      <c r="L54" s="58"/>
      <c r="M54" s="58"/>
      <c r="N54" s="58"/>
      <c r="O54" s="58"/>
    </row>
    <row r="55" spans="8:15">
      <c r="H55" s="58"/>
      <c r="J55" s="58"/>
      <c r="K55" s="58"/>
      <c r="L55" s="58"/>
      <c r="M55" s="58"/>
      <c r="N55" s="58"/>
      <c r="O55" s="58"/>
    </row>
    <row r="56" spans="8:15">
      <c r="H56" s="58"/>
      <c r="J56" s="58"/>
      <c r="K56" s="58"/>
      <c r="L56" s="58"/>
      <c r="M56" s="58"/>
      <c r="N56" s="58"/>
      <c r="O56" s="58"/>
    </row>
    <row r="57" spans="8:15">
      <c r="H57" s="58"/>
      <c r="J57" s="58"/>
      <c r="K57" s="58"/>
      <c r="L57" s="58"/>
      <c r="M57" s="58"/>
      <c r="N57" s="58"/>
      <c r="O57" s="58"/>
    </row>
    <row r="58" spans="8:15">
      <c r="H58" s="58"/>
      <c r="J58" s="58"/>
      <c r="K58" s="58"/>
      <c r="L58" s="58"/>
      <c r="M58" s="58"/>
      <c r="N58" s="58"/>
      <c r="O58" s="58"/>
    </row>
    <row r="59" spans="8:15">
      <c r="H59" s="58"/>
      <c r="J59" s="58"/>
      <c r="K59" s="58"/>
      <c r="L59" s="58"/>
      <c r="M59" s="58"/>
      <c r="N59" s="58"/>
      <c r="O59" s="58"/>
    </row>
    <row r="60" spans="8:15">
      <c r="H60" s="58"/>
      <c r="J60" s="58"/>
      <c r="K60" s="58"/>
      <c r="L60" s="58"/>
      <c r="M60" s="58"/>
      <c r="N60" s="58"/>
      <c r="O60" s="58"/>
    </row>
    <row r="61" spans="8:15">
      <c r="H61" s="58"/>
      <c r="J61" s="58"/>
      <c r="K61" s="58"/>
      <c r="L61" s="58"/>
      <c r="M61" s="58"/>
      <c r="N61" s="58"/>
      <c r="O61" s="58"/>
    </row>
    <row r="62" spans="8:15">
      <c r="H62" s="58"/>
      <c r="J62" s="58"/>
      <c r="K62" s="58"/>
      <c r="L62" s="58"/>
      <c r="M62" s="58"/>
      <c r="N62" s="58"/>
      <c r="O62" s="58"/>
    </row>
    <row r="63" spans="8:15">
      <c r="H63" s="58"/>
      <c r="J63" s="58"/>
      <c r="K63" s="58"/>
      <c r="L63" s="58"/>
      <c r="M63" s="58"/>
      <c r="N63" s="58"/>
      <c r="O63" s="58"/>
    </row>
    <row r="64" spans="8:15">
      <c r="H64" s="58"/>
      <c r="J64" s="58"/>
      <c r="K64" s="58"/>
      <c r="L64" s="58"/>
      <c r="M64" s="58"/>
      <c r="N64" s="58"/>
      <c r="O64" s="58"/>
    </row>
    <row r="65" spans="8:15">
      <c r="H65" s="58"/>
      <c r="J65" s="58"/>
      <c r="K65" s="58"/>
      <c r="L65" s="58"/>
      <c r="M65" s="58"/>
      <c r="N65" s="58"/>
      <c r="O65" s="58"/>
    </row>
    <row r="66" spans="8:15">
      <c r="H66" s="58"/>
      <c r="J66" s="58"/>
      <c r="K66" s="58"/>
      <c r="L66" s="58"/>
      <c r="M66" s="58"/>
      <c r="N66" s="58"/>
      <c r="O66" s="58"/>
    </row>
    <row r="67" spans="8:15">
      <c r="H67" s="58"/>
      <c r="J67" s="58"/>
      <c r="K67" s="58"/>
      <c r="L67" s="58"/>
      <c r="M67" s="58"/>
      <c r="N67" s="58"/>
      <c r="O67" s="58"/>
    </row>
    <row r="68" spans="8:15">
      <c r="H68" s="58"/>
      <c r="J68" s="58"/>
      <c r="K68" s="58"/>
      <c r="L68" s="58"/>
      <c r="M68" s="58"/>
      <c r="N68" s="58"/>
      <c r="O68" s="58"/>
    </row>
    <row r="69" spans="8:15">
      <c r="H69" s="58"/>
      <c r="J69" s="58"/>
      <c r="K69" s="58"/>
      <c r="L69" s="58"/>
      <c r="M69" s="58"/>
      <c r="N69" s="58"/>
      <c r="O69" s="58"/>
    </row>
    <row r="70" spans="8:15">
      <c r="H70" s="58"/>
      <c r="J70" s="58"/>
      <c r="K70" s="58"/>
      <c r="L70" s="58"/>
      <c r="M70" s="58"/>
      <c r="N70" s="58"/>
      <c r="O70" s="58"/>
    </row>
  </sheetData>
  <printOptions horizontalCentered="1"/>
  <pageMargins left="0.5" right="0.5" top="0.5" bottom="0.5" header="0.25" footer="0.25"/>
  <pageSetup scale="55" orientation="landscape" horizontalDpi="1200" verticalDpi="1200" r:id="rId1"/>
  <headerFoot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Appendix A - Rates</vt:lpstr>
      <vt:lpstr>Appendix B - COS</vt:lpstr>
      <vt:lpstr>Exh I - Allocators</vt:lpstr>
      <vt:lpstr>Exh II - Plant Data</vt:lpstr>
      <vt:lpstr>Exh III - O&amp;M Expenses</vt:lpstr>
      <vt:lpstr>Exh IV - M&amp;S and Prepayments</vt:lpstr>
      <vt:lpstr>Exh V - ROR</vt:lpstr>
      <vt:lpstr>Exh VI - Other Taxes</vt:lpstr>
      <vt:lpstr>Exh VII - Rev Crd</vt:lpstr>
      <vt:lpstr>Exh VIII - Loads</vt:lpstr>
      <vt:lpstr>'Exh II - Plant Data'!Print_Area</vt:lpstr>
      <vt:lpstr>'Exh III - O&amp;M Expenses'!Print_Area</vt:lpstr>
      <vt:lpstr>'Exh V - ROR'!Print_Area</vt:lpstr>
      <vt:lpstr>'Appendix B - COS'!Print_Titles</vt:lpstr>
      <vt:lpstr>'Exh II - Plant Data'!Print_Titles</vt:lpstr>
      <vt:lpstr>'Exh III - O&amp;M Expenses'!Print_Titles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Brin</dc:creator>
  <cp:lastModifiedBy>Ryan Holterhoff</cp:lastModifiedBy>
  <cp:lastPrinted>2019-06-19T01:49:33Z</cp:lastPrinted>
  <dcterms:created xsi:type="dcterms:W3CDTF">2019-06-11T17:45:20Z</dcterms:created>
  <dcterms:modified xsi:type="dcterms:W3CDTF">2019-06-20T05:03:52Z</dcterms:modified>
</cp:coreProperties>
</file>